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60" yWindow="-60" windowWidth="15480" windowHeight="11640" tabRatio="696" activeTab="1"/>
  </bookViews>
  <sheets>
    <sheet name="LENGUETA INSTRUCTIVO" sheetId="20" r:id="rId1"/>
    <sheet name="DATOS" sheetId="2" r:id="rId2"/>
    <sheet name="CONTRATO " sheetId="4" r:id="rId3"/>
    <sheet name="P, ANEXA" sheetId="6" r:id="rId4"/>
    <sheet name="Art. 29" sheetId="5" r:id="rId5"/>
    <sheet name="ARBA R-115" sheetId="7" r:id="rId6"/>
    <sheet name="GASTOS" sheetId="17" r:id="rId7"/>
    <sheet name="FOTOS" sheetId="8" r:id="rId8"/>
    <sheet name="PLANTA" sheetId="11" r:id="rId9"/>
    <sheet name="PLANTA (2)" sheetId="16" r:id="rId10"/>
    <sheet name="S. de PROY." sheetId="10" r:id="rId11"/>
    <sheet name="PROTOCOLO" sheetId="12" r:id="rId12"/>
    <sheet name="REGISTROS" sheetId="13" r:id="rId13"/>
    <sheet name="CONCLUS." sheetId="14" r:id="rId14"/>
    <sheet name="CROQUIS" sheetId="15" r:id="rId15"/>
    <sheet name="CERT. CALIBRACION" sheetId="19" r:id="rId16"/>
  </sheets>
  <externalReferences>
    <externalReference r:id="rId17"/>
  </externalReferences>
  <definedNames>
    <definedName name="_xlnm.Print_Area" localSheetId="2">'CONTRATO '!$A$1:$BM$98</definedName>
    <definedName name="_xlnm.Print_Area" localSheetId="8">PLANTA!$A$1:$Y$87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2" l="1"/>
  <c r="C159" i="2"/>
  <c r="AD241" i="2"/>
  <c r="Z92" i="4"/>
  <c r="Z91" i="4"/>
  <c r="L103" i="2"/>
  <c r="F164" i="2"/>
  <c r="R176" i="2"/>
  <c r="O103" i="2"/>
  <c r="R155" i="2"/>
  <c r="AR28" i="19"/>
  <c r="AR27" i="19"/>
  <c r="AR26" i="19"/>
  <c r="S22" i="19"/>
  <c r="S21" i="19"/>
  <c r="S20" i="19"/>
  <c r="AY5" i="19"/>
  <c r="AI5" i="19"/>
  <c r="Z5" i="19"/>
  <c r="G5" i="19"/>
  <c r="AQ4" i="19"/>
  <c r="H4" i="19"/>
  <c r="AE106" i="2"/>
  <c r="H4" i="15"/>
  <c r="AQ4" i="15"/>
  <c r="G5" i="15"/>
  <c r="Z5" i="15"/>
  <c r="AI5" i="15"/>
  <c r="AY5" i="15"/>
  <c r="S20" i="15"/>
  <c r="S21" i="15"/>
  <c r="S22" i="15"/>
  <c r="AR26" i="15"/>
  <c r="AR27" i="15"/>
  <c r="AR28" i="15"/>
  <c r="B2" i="14"/>
  <c r="G3" i="14"/>
  <c r="AX3" i="14"/>
  <c r="G4" i="14"/>
  <c r="W4" i="14"/>
  <c r="AC4" i="14"/>
  <c r="AQ4" i="14"/>
  <c r="AS48" i="14"/>
  <c r="AS49" i="14"/>
  <c r="AS50" i="14"/>
  <c r="AS51" i="14"/>
  <c r="AS52" i="14"/>
  <c r="BB52" i="14"/>
  <c r="B2" i="13"/>
  <c r="H3" i="13"/>
  <c r="AX3" i="13"/>
  <c r="G4" i="13"/>
  <c r="W4" i="13"/>
  <c r="AC4" i="13"/>
  <c r="AQ4" i="13"/>
  <c r="AY44" i="13"/>
  <c r="AY45" i="13"/>
  <c r="AY46" i="13"/>
  <c r="AY47" i="13"/>
  <c r="AY48" i="13"/>
  <c r="BI48" i="13"/>
  <c r="F4" i="12"/>
  <c r="D6" i="12"/>
  <c r="Q6" i="12"/>
  <c r="D8" i="12"/>
  <c r="C12" i="12"/>
  <c r="O12" i="12"/>
  <c r="A16" i="12"/>
  <c r="O18" i="12"/>
  <c r="A20" i="12"/>
  <c r="L20" i="12"/>
  <c r="T20" i="12"/>
  <c r="A23" i="12"/>
  <c r="A28" i="12"/>
  <c r="K34" i="12"/>
  <c r="K35" i="12"/>
  <c r="N42" i="12"/>
  <c r="N43" i="12"/>
  <c r="N44" i="12"/>
  <c r="N46" i="12"/>
  <c r="Q11" i="10"/>
  <c r="R13" i="10"/>
  <c r="C26" i="10"/>
  <c r="D26" i="10"/>
  <c r="E26" i="10"/>
  <c r="G26" i="10"/>
  <c r="H26" i="10"/>
  <c r="J26" i="10"/>
  <c r="K26" i="10"/>
  <c r="M26" i="10"/>
  <c r="N26" i="10"/>
  <c r="P26" i="10"/>
  <c r="T26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E11" i="10"/>
  <c r="C51" i="10"/>
  <c r="E51" i="10"/>
  <c r="J51" i="10"/>
  <c r="L51" i="10"/>
  <c r="C52" i="10"/>
  <c r="I52" i="10"/>
  <c r="K52" i="10"/>
  <c r="M52" i="10"/>
  <c r="P52" i="10"/>
  <c r="T52" i="10"/>
  <c r="C53" i="10"/>
  <c r="Q53" i="10"/>
  <c r="C67" i="10"/>
  <c r="F5" i="16"/>
  <c r="N5" i="16"/>
  <c r="P5" i="16"/>
  <c r="T5" i="16"/>
  <c r="D6" i="16"/>
  <c r="M6" i="16"/>
  <c r="B78" i="16"/>
  <c r="F5" i="11"/>
  <c r="N5" i="11"/>
  <c r="P5" i="11"/>
  <c r="T5" i="11"/>
  <c r="D6" i="11"/>
  <c r="M6" i="11"/>
  <c r="B78" i="11"/>
  <c r="F5" i="8"/>
  <c r="N5" i="8"/>
  <c r="P5" i="8"/>
  <c r="T5" i="8"/>
  <c r="D6" i="8"/>
  <c r="M6" i="8"/>
  <c r="B78" i="8"/>
  <c r="D17" i="17"/>
  <c r="D18" i="17"/>
  <c r="D19" i="17"/>
  <c r="D20" i="17"/>
  <c r="D21" i="17"/>
  <c r="D22" i="17"/>
  <c r="D23" i="17"/>
  <c r="D24" i="17"/>
  <c r="D25" i="17"/>
  <c r="D26" i="17"/>
  <c r="D27" i="17"/>
  <c r="F12" i="7"/>
  <c r="E14" i="7"/>
  <c r="E17" i="7"/>
  <c r="E18" i="7"/>
  <c r="E21" i="7"/>
  <c r="I21" i="7"/>
  <c r="E22" i="7"/>
  <c r="E29" i="7"/>
  <c r="E30" i="7"/>
  <c r="I31" i="7"/>
  <c r="L31" i="7"/>
  <c r="I32" i="7"/>
  <c r="E33" i="7"/>
  <c r="I33" i="7"/>
  <c r="E34" i="7"/>
  <c r="E40" i="7"/>
  <c r="C41" i="7"/>
  <c r="AF13" i="5"/>
  <c r="Y16" i="5"/>
  <c r="L18" i="5"/>
  <c r="H20" i="5"/>
  <c r="BE27" i="5"/>
  <c r="BF27" i="5"/>
  <c r="BG27" i="5"/>
  <c r="BH27" i="5"/>
  <c r="BE28" i="5"/>
  <c r="BI27" i="5"/>
  <c r="BF28" i="5"/>
  <c r="BG28" i="5"/>
  <c r="BH28" i="5"/>
  <c r="BE29" i="5"/>
  <c r="BI28" i="5"/>
  <c r="BF29" i="5"/>
  <c r="BG29" i="5"/>
  <c r="BH29" i="5"/>
  <c r="BE30" i="5"/>
  <c r="BI29" i="5"/>
  <c r="BF30" i="5"/>
  <c r="BG30" i="5"/>
  <c r="BH30" i="5"/>
  <c r="BE31" i="5"/>
  <c r="BI30" i="5"/>
  <c r="BF31" i="5"/>
  <c r="BG31" i="5"/>
  <c r="BH31" i="5"/>
  <c r="BE32" i="5"/>
  <c r="BI31" i="5"/>
  <c r="BF32" i="5"/>
  <c r="BG32" i="5"/>
  <c r="BH32" i="5"/>
  <c r="BI33" i="5"/>
  <c r="BH33" i="5"/>
  <c r="BG33" i="5"/>
  <c r="BF33" i="5"/>
  <c r="BE33" i="5"/>
  <c r="BI32" i="5"/>
  <c r="Y36" i="5"/>
  <c r="J38" i="5"/>
  <c r="Y63" i="5"/>
  <c r="AJ63" i="5"/>
  <c r="AR63" i="5"/>
  <c r="AA64" i="5"/>
  <c r="AQ64" i="5"/>
  <c r="K3" i="6"/>
  <c r="AI9" i="6"/>
  <c r="AP36" i="6"/>
  <c r="AP37" i="6"/>
  <c r="AP38" i="6"/>
  <c r="AP39" i="6"/>
  <c r="AJ42" i="6"/>
  <c r="AD49" i="6"/>
  <c r="AJ43" i="6"/>
  <c r="AJ44" i="6"/>
  <c r="B50" i="6"/>
  <c r="AJ45" i="6"/>
  <c r="B51" i="6"/>
  <c r="AJ46" i="6"/>
  <c r="AJ47" i="6"/>
  <c r="AJ48" i="6"/>
  <c r="AJ49" i="6"/>
  <c r="AJ50" i="6"/>
  <c r="AJ51" i="6"/>
  <c r="AJ52" i="6"/>
  <c r="AI61" i="6"/>
  <c r="BB65" i="6"/>
  <c r="AJ76" i="6"/>
  <c r="AJ77" i="6"/>
  <c r="AJ78" i="6"/>
  <c r="AJ79" i="6"/>
  <c r="J8" i="4"/>
  <c r="V8" i="4"/>
  <c r="AO8" i="4"/>
  <c r="F10" i="4"/>
  <c r="S10" i="4"/>
  <c r="AK10" i="4"/>
  <c r="AT10" i="4"/>
  <c r="G12" i="4"/>
  <c r="AO12" i="4"/>
  <c r="E14" i="4"/>
  <c r="Y14" i="4"/>
  <c r="BF14" i="4"/>
  <c r="K16" i="4"/>
  <c r="AE16" i="4"/>
  <c r="AT16" i="4"/>
  <c r="B23" i="4"/>
  <c r="R23" i="4"/>
  <c r="AF23" i="4"/>
  <c r="AK23" i="4"/>
  <c r="BA23" i="4"/>
  <c r="M25" i="4"/>
  <c r="T25" i="4"/>
  <c r="AA25" i="4"/>
  <c r="AJ25" i="4"/>
  <c r="AS25" i="4"/>
  <c r="BB25" i="4"/>
  <c r="BH25" i="4"/>
  <c r="AJ33" i="4"/>
  <c r="H37" i="4"/>
  <c r="Z37" i="4"/>
  <c r="AS37" i="4"/>
  <c r="AG51" i="4"/>
  <c r="H54" i="4"/>
  <c r="AY54" i="4"/>
  <c r="AT57" i="4"/>
  <c r="B81" i="4"/>
  <c r="I91" i="4"/>
  <c r="AN77" i="6"/>
  <c r="I92" i="4"/>
  <c r="AN78" i="6"/>
  <c r="I93" i="4"/>
  <c r="AN79" i="6"/>
  <c r="V30" i="2"/>
  <c r="V31" i="2"/>
  <c r="V32" i="2"/>
  <c r="V33" i="2"/>
  <c r="V34" i="2"/>
  <c r="B48" i="2"/>
  <c r="B49" i="2"/>
  <c r="B50" i="2"/>
  <c r="Q51" i="2"/>
  <c r="Q52" i="2"/>
  <c r="AJ54" i="4"/>
  <c r="W53" i="2"/>
  <c r="X53" i="2"/>
  <c r="Y53" i="2"/>
  <c r="Z53" i="2"/>
  <c r="Q54" i="2"/>
  <c r="W54" i="2"/>
  <c r="AA53" i="2"/>
  <c r="X54" i="2"/>
  <c r="Y54" i="2"/>
  <c r="Z54" i="2"/>
  <c r="W55" i="2"/>
  <c r="AA54" i="2"/>
  <c r="X55" i="2"/>
  <c r="Y55" i="2"/>
  <c r="Z55" i="2"/>
  <c r="W56" i="2"/>
  <c r="AA55" i="2"/>
  <c r="X56" i="2"/>
  <c r="Y56" i="2"/>
  <c r="Z56" i="2"/>
  <c r="W57" i="2"/>
  <c r="AA56" i="2"/>
  <c r="X57" i="2"/>
  <c r="Y57" i="2"/>
  <c r="Z57" i="2"/>
  <c r="W58" i="2"/>
  <c r="AA57" i="2"/>
  <c r="X58" i="2"/>
  <c r="Y58" i="2"/>
  <c r="Z58" i="2"/>
  <c r="AA59" i="2"/>
  <c r="Z59" i="2"/>
  <c r="Y59" i="2"/>
  <c r="X59" i="2"/>
  <c r="W59" i="2"/>
  <c r="AA58" i="2"/>
  <c r="Y74" i="2"/>
  <c r="X74" i="2"/>
  <c r="W74" i="2"/>
  <c r="V74" i="2"/>
  <c r="Z73" i="2"/>
  <c r="Y73" i="2"/>
  <c r="X73" i="2"/>
  <c r="W73" i="2"/>
  <c r="V73" i="2"/>
  <c r="Z72" i="2"/>
  <c r="Y72" i="2"/>
  <c r="X72" i="2"/>
  <c r="W72" i="2"/>
  <c r="V72" i="2"/>
  <c r="Z71" i="2"/>
  <c r="Y71" i="2"/>
  <c r="X71" i="2"/>
  <c r="W71" i="2"/>
  <c r="V75" i="2"/>
  <c r="Z74" i="2"/>
  <c r="W75" i="2"/>
  <c r="X75" i="2"/>
  <c r="Y75" i="2"/>
  <c r="V76" i="2"/>
  <c r="Z75" i="2"/>
  <c r="W76" i="2"/>
  <c r="X76" i="2"/>
  <c r="Y76" i="2"/>
  <c r="F77" i="2"/>
  <c r="L77" i="2"/>
  <c r="Z77" i="2"/>
  <c r="Y77" i="2"/>
  <c r="X77" i="2"/>
  <c r="W77" i="2"/>
  <c r="V77" i="2"/>
  <c r="Z76" i="2"/>
  <c r="F78" i="2"/>
  <c r="AJ93" i="2"/>
  <c r="AM85" i="2"/>
  <c r="Z91" i="2"/>
  <c r="Y91" i="2"/>
  <c r="X91" i="2"/>
  <c r="W91" i="2"/>
  <c r="V91" i="2"/>
  <c r="Z90" i="2"/>
  <c r="Y90" i="2"/>
  <c r="X90" i="2"/>
  <c r="W90" i="2"/>
  <c r="V90" i="2"/>
  <c r="Z89" i="2"/>
  <c r="Y89" i="2"/>
  <c r="X89" i="2"/>
  <c r="W89" i="2"/>
  <c r="V89" i="2"/>
  <c r="Z88" i="2"/>
  <c r="Y88" i="2"/>
  <c r="X88" i="2"/>
  <c r="W88" i="2"/>
  <c r="V88" i="2"/>
  <c r="Z87" i="2"/>
  <c r="Y87" i="2"/>
  <c r="X87" i="2"/>
  <c r="W87" i="2"/>
  <c r="V87" i="2"/>
  <c r="Z86" i="2"/>
  <c r="Y86" i="2"/>
  <c r="X86" i="2"/>
  <c r="W86" i="2"/>
  <c r="V86" i="2"/>
  <c r="Z85" i="2"/>
  <c r="Y85" i="2"/>
  <c r="X85" i="2"/>
  <c r="W85" i="2"/>
  <c r="V85" i="2"/>
  <c r="AD92" i="2"/>
  <c r="AE92" i="2"/>
  <c r="AF92" i="2"/>
  <c r="AH92" i="2"/>
  <c r="AI92" i="2"/>
  <c r="AD93" i="2"/>
  <c r="AE93" i="2"/>
  <c r="AF93" i="2"/>
  <c r="AH93" i="2"/>
  <c r="AI93" i="2"/>
  <c r="F97" i="2"/>
  <c r="L97" i="2"/>
  <c r="V98" i="2"/>
  <c r="W98" i="2"/>
  <c r="X98" i="2"/>
  <c r="Y98" i="2"/>
  <c r="BG54" i="6"/>
  <c r="X276" i="2"/>
  <c r="V99" i="2"/>
  <c r="Z98" i="2"/>
  <c r="W99" i="2"/>
  <c r="X99" i="2"/>
  <c r="Y99" i="2"/>
  <c r="V100" i="2"/>
  <c r="Z99" i="2"/>
  <c r="W100" i="2"/>
  <c r="X100" i="2"/>
  <c r="Y100" i="2"/>
  <c r="V101" i="2"/>
  <c r="Z100" i="2"/>
  <c r="W101" i="2"/>
  <c r="X101" i="2"/>
  <c r="Y101" i="2"/>
  <c r="V102" i="2"/>
  <c r="Z101" i="2"/>
  <c r="W102" i="2"/>
  <c r="X102" i="2"/>
  <c r="Y102" i="2"/>
  <c r="V103" i="2"/>
  <c r="Z102" i="2"/>
  <c r="W103" i="2"/>
  <c r="X103" i="2"/>
  <c r="Y103" i="2"/>
  <c r="Z104" i="2"/>
  <c r="Y104" i="2"/>
  <c r="X104" i="2"/>
  <c r="W104" i="2"/>
  <c r="V104" i="2"/>
  <c r="Z103" i="2"/>
  <c r="AD104" i="2"/>
  <c r="AE104" i="2"/>
  <c r="AF104" i="2"/>
  <c r="AH104" i="2"/>
  <c r="AI104" i="2"/>
  <c r="AD105" i="2"/>
  <c r="AE105" i="2"/>
  <c r="AF105" i="2"/>
  <c r="AH105" i="2"/>
  <c r="AI105" i="2"/>
  <c r="AJ105" i="2"/>
  <c r="AD106" i="2"/>
  <c r="AF106" i="2"/>
  <c r="AG106" i="2"/>
  <c r="AH106" i="2"/>
  <c r="AI106" i="2"/>
  <c r="AD107" i="2"/>
  <c r="AF107" i="2"/>
  <c r="AG107" i="2"/>
  <c r="AI108" i="2"/>
  <c r="K130" i="2"/>
  <c r="AZ36" i="6"/>
  <c r="K131" i="2"/>
  <c r="AZ37" i="6"/>
  <c r="K132" i="2"/>
  <c r="Y111" i="2"/>
  <c r="X111" i="2"/>
  <c r="W111" i="2"/>
  <c r="V111" i="2"/>
  <c r="K133" i="2"/>
  <c r="X269" i="2"/>
  <c r="X112" i="2"/>
  <c r="W112" i="2"/>
  <c r="V112" i="2"/>
  <c r="Z111" i="2"/>
  <c r="Y112" i="2"/>
  <c r="F117" i="2"/>
  <c r="K134" i="2"/>
  <c r="X271" i="2"/>
  <c r="Y113" i="2"/>
  <c r="X113" i="2"/>
  <c r="W113" i="2"/>
  <c r="V113" i="2"/>
  <c r="Z112" i="2"/>
  <c r="Y114" i="2"/>
  <c r="X114" i="2"/>
  <c r="W114" i="2"/>
  <c r="V114" i="2"/>
  <c r="Z113" i="2"/>
  <c r="AD114" i="2"/>
  <c r="AD115" i="2"/>
  <c r="AE114" i="2"/>
  <c r="AE115" i="2"/>
  <c r="AF114" i="2"/>
  <c r="AF115" i="2"/>
  <c r="AH114" i="2"/>
  <c r="AH115" i="2"/>
  <c r="AI114" i="2"/>
  <c r="AI115" i="2"/>
  <c r="X115" i="2"/>
  <c r="W115" i="2"/>
  <c r="V115" i="2"/>
  <c r="Z114" i="2"/>
  <c r="Y115" i="2"/>
  <c r="Y116" i="2"/>
  <c r="X116" i="2"/>
  <c r="W116" i="2"/>
  <c r="V116" i="2"/>
  <c r="Z115" i="2"/>
  <c r="Z117" i="2"/>
  <c r="Y117" i="2"/>
  <c r="X117" i="2"/>
  <c r="W117" i="2"/>
  <c r="V117" i="2"/>
  <c r="Z116" i="2"/>
  <c r="Y125" i="2"/>
  <c r="X125" i="2"/>
  <c r="W125" i="2"/>
  <c r="V125" i="2"/>
  <c r="AF125" i="2"/>
  <c r="Y126" i="2"/>
  <c r="X126" i="2"/>
  <c r="W126" i="2"/>
  <c r="V126" i="2"/>
  <c r="Z125" i="2"/>
  <c r="AF126" i="2"/>
  <c r="Y127" i="2"/>
  <c r="X127" i="2"/>
  <c r="W127" i="2"/>
  <c r="V127" i="2"/>
  <c r="Z126" i="2"/>
  <c r="AF127" i="2"/>
  <c r="Y128" i="2"/>
  <c r="X128" i="2"/>
  <c r="W128" i="2"/>
  <c r="V128" i="2"/>
  <c r="Z127" i="2"/>
  <c r="F131" i="2"/>
  <c r="BG49" i="6"/>
  <c r="Y129" i="2"/>
  <c r="X129" i="2"/>
  <c r="W129" i="2"/>
  <c r="V129" i="2"/>
  <c r="Z128" i="2"/>
  <c r="AF129" i="2"/>
  <c r="L123" i="2"/>
  <c r="Y130" i="2"/>
  <c r="X130" i="2"/>
  <c r="W130" i="2"/>
  <c r="V130" i="2"/>
  <c r="Z129" i="2"/>
  <c r="L124" i="2"/>
  <c r="AJ114" i="2"/>
  <c r="AJ115" i="2"/>
  <c r="Z131" i="2"/>
  <c r="Y131" i="2"/>
  <c r="X131" i="2"/>
  <c r="W131" i="2"/>
  <c r="V131" i="2"/>
  <c r="Z130" i="2"/>
  <c r="B141" i="2"/>
  <c r="J141" i="2"/>
  <c r="AJ57" i="6"/>
  <c r="E142" i="2"/>
  <c r="J146" i="2"/>
  <c r="AA184" i="2"/>
  <c r="V142" i="2"/>
  <c r="W142" i="2"/>
  <c r="X142" i="2"/>
  <c r="Y142" i="2"/>
  <c r="V143" i="2"/>
  <c r="Z142" i="2"/>
  <c r="W143" i="2"/>
  <c r="X143" i="2"/>
  <c r="Y143" i="2"/>
  <c r="V144" i="2"/>
  <c r="Z143" i="2"/>
  <c r="W144" i="2"/>
  <c r="X144" i="2"/>
  <c r="Y144" i="2"/>
  <c r="V145" i="2"/>
  <c r="Z144" i="2"/>
  <c r="W145" i="2"/>
  <c r="X145" i="2"/>
  <c r="Y145" i="2"/>
  <c r="V146" i="2"/>
  <c r="Z145" i="2"/>
  <c r="W146" i="2"/>
  <c r="X146" i="2"/>
  <c r="Y146" i="2"/>
  <c r="V147" i="2"/>
  <c r="Z146" i="2"/>
  <c r="W147" i="2"/>
  <c r="X147" i="2"/>
  <c r="Y147" i="2"/>
  <c r="Z148" i="2"/>
  <c r="Y148" i="2"/>
  <c r="X148" i="2"/>
  <c r="W148" i="2"/>
  <c r="V148" i="2"/>
  <c r="Z147" i="2"/>
  <c r="R174" i="2"/>
  <c r="R175" i="2"/>
  <c r="S180" i="2"/>
  <c r="AB184" i="2"/>
  <c r="AB204" i="2"/>
  <c r="AE227" i="2"/>
  <c r="AD239" i="2"/>
  <c r="Y235" i="2"/>
  <c r="AB282" i="2"/>
  <c r="V284" i="2"/>
  <c r="V285" i="2"/>
  <c r="AJ254" i="2"/>
  <c r="AJ253" i="2"/>
  <c r="AJ256" i="2"/>
  <c r="AJ255" i="2"/>
  <c r="AJ257" i="2"/>
  <c r="BG44" i="6"/>
  <c r="S108" i="2"/>
  <c r="S104" i="2"/>
  <c r="AJ252" i="2"/>
  <c r="AJ224" i="2"/>
  <c r="AJ215" i="2"/>
  <c r="AJ190" i="2"/>
  <c r="S110" i="2"/>
  <c r="AJ251" i="2"/>
  <c r="AJ223" i="2"/>
  <c r="AJ214" i="2"/>
  <c r="AJ189" i="2"/>
  <c r="S109" i="2"/>
  <c r="AJ226" i="2"/>
  <c r="AJ217" i="2"/>
  <c r="AJ192" i="2"/>
  <c r="AJ188" i="2"/>
  <c r="AJ225" i="2"/>
  <c r="AJ216" i="2"/>
  <c r="AJ191" i="2"/>
  <c r="V71" i="2"/>
  <c r="L78" i="2"/>
  <c r="AJ92" i="2"/>
  <c r="AJ94" i="2"/>
  <c r="X263" i="2"/>
  <c r="AG109" i="2"/>
  <c r="AG122" i="2"/>
  <c r="AT4" i="6"/>
  <c r="S112" i="2"/>
  <c r="L76" i="2"/>
  <c r="R172" i="2"/>
  <c r="AF94" i="2"/>
  <c r="AZ39" i="6"/>
  <c r="AI94" i="2"/>
  <c r="AA204" i="2"/>
  <c r="V35" i="2"/>
  <c r="H32" i="2"/>
  <c r="E148" i="2"/>
  <c r="X265" i="2"/>
  <c r="K135" i="2"/>
  <c r="F166" i="2"/>
  <c r="AH109" i="2"/>
  <c r="AE109" i="2"/>
  <c r="L98" i="2"/>
  <c r="AD94" i="2"/>
  <c r="AE94" i="2"/>
  <c r="AK251" i="2"/>
  <c r="S111" i="2"/>
  <c r="F115" i="2"/>
  <c r="AH94" i="2"/>
  <c r="R54" i="4"/>
  <c r="AR54" i="4"/>
  <c r="AF109" i="2"/>
  <c r="AD109" i="2"/>
  <c r="AK252" i="2"/>
  <c r="AK254" i="2"/>
  <c r="AK253" i="2"/>
  <c r="AF227" i="2"/>
  <c r="AK255" i="2"/>
  <c r="AZ38" i="6"/>
  <c r="X267" i="2"/>
  <c r="V286" i="2"/>
  <c r="AI109" i="2"/>
  <c r="R167" i="2"/>
  <c r="S115" i="2"/>
  <c r="S117" i="2"/>
  <c r="S116" i="2"/>
  <c r="F129" i="2"/>
  <c r="F130" i="2"/>
  <c r="F124" i="2"/>
  <c r="F128" i="2"/>
  <c r="R130" i="2"/>
  <c r="R131" i="2"/>
  <c r="F125" i="2"/>
  <c r="F132" i="2"/>
  <c r="S80" i="2"/>
  <c r="S106" i="2"/>
  <c r="X241" i="2"/>
  <c r="F127" i="2"/>
  <c r="AI122" i="2"/>
  <c r="K5" i="6"/>
  <c r="R164" i="2"/>
  <c r="O136" i="2"/>
  <c r="K136" i="2"/>
  <c r="AF122" i="2"/>
  <c r="AG3" i="6"/>
  <c r="S78" i="2"/>
  <c r="AL252" i="2"/>
  <c r="AL251" i="2"/>
  <c r="AE122" i="2"/>
  <c r="K2" i="6"/>
  <c r="F96" i="2"/>
  <c r="Y39" i="5"/>
  <c r="F76" i="2"/>
  <c r="S100" i="2"/>
  <c r="L96" i="2"/>
  <c r="F95" i="2"/>
  <c r="AL36" i="5"/>
  <c r="L121" i="2"/>
  <c r="AD122" i="2"/>
  <c r="S3" i="6"/>
  <c r="AH122" i="2"/>
  <c r="K4" i="6"/>
  <c r="S101" i="2"/>
  <c r="AD242" i="2"/>
  <c r="X273" i="2"/>
  <c r="L122" i="2"/>
  <c r="F116" i="2"/>
  <c r="V237" i="2"/>
  <c r="N42" i="6"/>
  <c r="B39" i="2"/>
  <c r="F118" i="2"/>
  <c r="F98" i="2"/>
  <c r="AJ104" i="2"/>
  <c r="AF128" i="2"/>
  <c r="S79" i="2"/>
  <c r="S77" i="2"/>
  <c r="AL254" i="2"/>
  <c r="L109" i="2"/>
  <c r="L110" i="2"/>
  <c r="L75" i="2"/>
  <c r="L79" i="2"/>
  <c r="R158" i="2"/>
  <c r="L95" i="2"/>
  <c r="F75" i="2"/>
  <c r="AL257" i="2"/>
  <c r="AF130" i="2"/>
  <c r="AJ106" i="2"/>
  <c r="AL214" i="2"/>
  <c r="AL215" i="2"/>
  <c r="AK214" i="2"/>
  <c r="AK215" i="2"/>
  <c r="AK216" i="2"/>
  <c r="AK217" i="2"/>
  <c r="AL216" i="2"/>
  <c r="AL217" i="2"/>
  <c r="AK256" i="2"/>
  <c r="AK257" i="2"/>
  <c r="AJ207" i="2"/>
  <c r="BK63" i="5"/>
  <c r="AJ236" i="2"/>
  <c r="AD240" i="2"/>
  <c r="AL225" i="2"/>
  <c r="AK223" i="2"/>
  <c r="AK224" i="2"/>
  <c r="AK225" i="2"/>
  <c r="AK226" i="2"/>
  <c r="AL226" i="2"/>
  <c r="AL223" i="2"/>
  <c r="AL224" i="2"/>
  <c r="AK188" i="2"/>
  <c r="AM188" i="2"/>
  <c r="AM203" i="2"/>
  <c r="AJ203" i="2"/>
  <c r="AL189" i="2"/>
  <c r="AL204" i="2"/>
  <c r="AL191" i="2"/>
  <c r="AL206" i="2"/>
  <c r="AM189" i="2"/>
  <c r="AM204" i="2"/>
  <c r="AL188" i="2"/>
  <c r="AL203" i="2"/>
  <c r="AL192" i="2"/>
  <c r="AL207" i="2"/>
  <c r="AM192" i="2"/>
  <c r="AM207" i="2"/>
  <c r="AM190" i="2"/>
  <c r="AM205" i="2"/>
  <c r="AM191" i="2"/>
  <c r="AM206" i="2"/>
  <c r="AL190" i="2"/>
  <c r="AL205" i="2"/>
  <c r="BK59" i="5"/>
  <c r="AJ232" i="2"/>
  <c r="AJ205" i="2"/>
  <c r="AJ234" i="2"/>
  <c r="BK61" i="5"/>
  <c r="AL253" i="2"/>
  <c r="BK60" i="5"/>
  <c r="AJ233" i="2"/>
  <c r="AJ204" i="2"/>
  <c r="AL256" i="2"/>
  <c r="AJ235" i="2"/>
  <c r="BK62" i="5"/>
  <c r="AJ206" i="2"/>
  <c r="AL255" i="2"/>
  <c r="F133" i="2"/>
  <c r="R173" i="2"/>
  <c r="BG50" i="6"/>
  <c r="R169" i="2"/>
  <c r="BG46" i="6"/>
  <c r="R170" i="2"/>
  <c r="BG47" i="6"/>
  <c r="R166" i="2"/>
  <c r="BG43" i="6"/>
  <c r="BG42" i="6"/>
  <c r="R165" i="2"/>
  <c r="BG48" i="6"/>
  <c r="R171" i="2"/>
  <c r="L99" i="2"/>
  <c r="R160" i="2"/>
  <c r="BG45" i="6"/>
  <c r="R168" i="2"/>
  <c r="O134" i="2"/>
  <c r="F136" i="2"/>
  <c r="F135" i="2"/>
  <c r="F165" i="2"/>
  <c r="Z5" i="6"/>
  <c r="AM2" i="6"/>
  <c r="F119" i="2"/>
  <c r="V231" i="2"/>
  <c r="V232" i="2"/>
  <c r="N37" i="6"/>
  <c r="Z249" i="2"/>
  <c r="BG51" i="6"/>
  <c r="F99" i="2"/>
  <c r="R159" i="2"/>
  <c r="L125" i="2"/>
  <c r="F79" i="2"/>
  <c r="V206" i="2"/>
  <c r="V207" i="2"/>
  <c r="V208" i="2"/>
  <c r="AJ109" i="2"/>
  <c r="AJ122" i="2"/>
  <c r="R162" i="2"/>
  <c r="V245" i="2"/>
  <c r="AK203" i="2"/>
  <c r="AK189" i="2"/>
  <c r="BN59" i="5"/>
  <c r="BM61" i="5"/>
  <c r="BM59" i="5"/>
  <c r="BN63" i="5"/>
  <c r="BM60" i="5"/>
  <c r="BM62" i="5"/>
  <c r="BM63" i="5"/>
  <c r="BL59" i="5"/>
  <c r="BL60" i="5"/>
  <c r="BL61" i="5"/>
  <c r="BL62" i="5"/>
  <c r="BL63" i="5"/>
  <c r="BN61" i="5"/>
  <c r="BN60" i="5"/>
  <c r="BN62" i="5"/>
  <c r="AL233" i="2"/>
  <c r="AL232" i="2"/>
  <c r="AL236" i="2"/>
  <c r="AL235" i="2"/>
  <c r="AL234" i="2"/>
  <c r="AK232" i="2"/>
  <c r="AK233" i="2"/>
  <c r="V238" i="2"/>
  <c r="AO41" i="5"/>
  <c r="N29" i="6"/>
  <c r="V224" i="2"/>
  <c r="X222" i="2"/>
  <c r="Z27" i="6"/>
  <c r="V225" i="2"/>
  <c r="N30" i="6"/>
  <c r="N36" i="6"/>
  <c r="V215" i="2"/>
  <c r="R163" i="2"/>
  <c r="V188" i="2"/>
  <c r="V189" i="2"/>
  <c r="V190" i="2"/>
  <c r="AE193" i="2"/>
  <c r="M16" i="6"/>
  <c r="N21" i="6"/>
  <c r="Q43" i="5"/>
  <c r="BC60" i="5"/>
  <c r="V47" i="5"/>
  <c r="BG60" i="5"/>
  <c r="V255" i="2"/>
  <c r="AY27" i="6"/>
  <c r="J138" i="2"/>
  <c r="R9" i="6"/>
  <c r="R156" i="2"/>
  <c r="N50" i="6"/>
  <c r="V246" i="2"/>
  <c r="N51" i="6"/>
  <c r="V239" i="2"/>
  <c r="N44" i="6"/>
  <c r="N43" i="6"/>
  <c r="V233" i="2"/>
  <c r="N38" i="6"/>
  <c r="AK190" i="2"/>
  <c r="AK204" i="2"/>
  <c r="AK234" i="2"/>
  <c r="V226" i="2"/>
  <c r="N31" i="6"/>
  <c r="X223" i="2"/>
  <c r="Z28" i="6"/>
  <c r="U226" i="2"/>
  <c r="B31" i="6"/>
  <c r="X216" i="2"/>
  <c r="Z22" i="6"/>
  <c r="B178" i="2"/>
  <c r="X225" i="2"/>
  <c r="Z30" i="6"/>
  <c r="V256" i="2"/>
  <c r="AY28" i="6"/>
  <c r="AE188" i="2"/>
  <c r="M14" i="6"/>
  <c r="AE192" i="2"/>
  <c r="M15" i="6"/>
  <c r="V216" i="2"/>
  <c r="N22" i="6"/>
  <c r="U217" i="2"/>
  <c r="B23" i="6"/>
  <c r="T256" i="2"/>
  <c r="U257" i="2"/>
  <c r="AT29" i="6"/>
  <c r="X256" i="2"/>
  <c r="BF28" i="6"/>
  <c r="X226" i="2"/>
  <c r="Z31" i="6"/>
  <c r="M47" i="5"/>
  <c r="BG63" i="5"/>
  <c r="BG59" i="5"/>
  <c r="BC57" i="5"/>
  <c r="BC55" i="5"/>
  <c r="B47" i="5"/>
  <c r="BD57" i="5"/>
  <c r="BD55" i="5"/>
  <c r="BD60" i="5"/>
  <c r="V217" i="2"/>
  <c r="N23" i="6"/>
  <c r="V247" i="2"/>
  <c r="N52" i="6"/>
  <c r="AK235" i="2"/>
  <c r="AK205" i="2"/>
  <c r="AK191" i="2"/>
  <c r="V257" i="2"/>
  <c r="V258" i="2"/>
  <c r="X227" i="2"/>
  <c r="L100" i="2"/>
  <c r="F160" i="2"/>
  <c r="M48" i="5"/>
  <c r="BD61" i="5"/>
  <c r="BD63" i="5"/>
  <c r="B48" i="5"/>
  <c r="X217" i="2"/>
  <c r="Z23" i="6"/>
  <c r="AK192" i="2"/>
  <c r="AA278" i="2"/>
  <c r="AK206" i="2"/>
  <c r="AK236" i="2"/>
  <c r="U239" i="2"/>
  <c r="U247" i="2"/>
  <c r="X247" i="2"/>
  <c r="Z52" i="6"/>
  <c r="AA189" i="2"/>
  <c r="X189" i="2"/>
  <c r="X257" i="2"/>
  <c r="BF29" i="6"/>
  <c r="AY29" i="6"/>
  <c r="O101" i="2"/>
  <c r="L101" i="2"/>
  <c r="J160" i="2"/>
  <c r="Z32" i="6"/>
  <c r="X218" i="2"/>
  <c r="AB296" i="2"/>
  <c r="X297" i="2"/>
  <c r="BC61" i="5"/>
  <c r="V48" i="5"/>
  <c r="BG61" i="5"/>
  <c r="BG62" i="5"/>
  <c r="AA186" i="2"/>
  <c r="AA190" i="2"/>
  <c r="X190" i="2"/>
  <c r="X258" i="2"/>
  <c r="U258" i="2"/>
  <c r="AT30" i="6"/>
  <c r="AY30" i="6"/>
  <c r="X238" i="2"/>
  <c r="Z43" i="6"/>
  <c r="AB285" i="2"/>
  <c r="AA283" i="2"/>
  <c r="AA286" i="2"/>
  <c r="X286" i="2"/>
  <c r="I44" i="6"/>
  <c r="X239" i="2"/>
  <c r="U233" i="2"/>
  <c r="X233" i="2"/>
  <c r="Z38" i="6"/>
  <c r="Z46" i="6"/>
  <c r="AD117" i="2"/>
  <c r="X232" i="2"/>
  <c r="X246" i="2"/>
  <c r="AK207" i="2"/>
  <c r="AB207" i="2"/>
  <c r="AA285" i="2"/>
  <c r="AB283" i="2"/>
  <c r="AB286" i="2"/>
  <c r="AB189" i="2"/>
  <c r="AB186" i="2"/>
  <c r="AB190" i="2"/>
  <c r="B52" i="6"/>
  <c r="T286" i="2"/>
  <c r="AB295" i="2"/>
  <c r="X295" i="2"/>
  <c r="Z24" i="6"/>
  <c r="C160" i="2"/>
  <c r="F100" i="2"/>
  <c r="F159" i="2"/>
  <c r="BC63" i="5"/>
  <c r="V49" i="5"/>
  <c r="AP50" i="5"/>
  <c r="AH52" i="5"/>
  <c r="U190" i="2"/>
  <c r="AB205" i="2"/>
  <c r="AB208" i="2"/>
  <c r="AB209" i="2"/>
  <c r="AB211" i="2"/>
  <c r="BF30" i="6"/>
  <c r="X259" i="2"/>
  <c r="AB287" i="2"/>
  <c r="AA192" i="2"/>
  <c r="AA197" i="2"/>
  <c r="AA199" i="2"/>
  <c r="AA205" i="2"/>
  <c r="U208" i="2"/>
  <c r="AA207" i="2"/>
  <c r="X207" i="2"/>
  <c r="AE189" i="2"/>
  <c r="B38" i="6"/>
  <c r="X240" i="2"/>
  <c r="Z45" i="6"/>
  <c r="Z44" i="6"/>
  <c r="AB192" i="2"/>
  <c r="Z51" i="6"/>
  <c r="X249" i="2"/>
  <c r="Z37" i="6"/>
  <c r="X235" i="2"/>
  <c r="F120" i="2"/>
  <c r="AA287" i="2"/>
  <c r="X287" i="2"/>
  <c r="X290" i="2"/>
  <c r="X285" i="2"/>
  <c r="J161" i="2"/>
  <c r="F161" i="2"/>
  <c r="O121" i="2"/>
  <c r="F121" i="2"/>
  <c r="J159" i="2"/>
  <c r="O99" i="2"/>
  <c r="F101" i="2"/>
  <c r="U195" i="2"/>
  <c r="X195" i="2"/>
  <c r="U197" i="2"/>
  <c r="X197" i="2"/>
  <c r="AE196" i="2"/>
  <c r="B16" i="6"/>
  <c r="Z15" i="6"/>
  <c r="L126" i="2"/>
  <c r="F163" i="2"/>
  <c r="BF31" i="6"/>
  <c r="C157" i="2"/>
  <c r="AB293" i="2"/>
  <c r="X296" i="2"/>
  <c r="AA249" i="2"/>
  <c r="R136" i="2"/>
  <c r="L111" i="2"/>
  <c r="F162" i="2"/>
  <c r="Z235" i="2"/>
  <c r="AA195" i="2"/>
  <c r="AA201" i="2"/>
  <c r="AB195" i="2"/>
  <c r="AB197" i="2"/>
  <c r="AB199" i="2"/>
  <c r="AB201" i="2"/>
  <c r="X201" i="2"/>
  <c r="X192" i="2"/>
  <c r="AA208" i="2"/>
  <c r="X208" i="2"/>
  <c r="Z53" i="6"/>
  <c r="Y249" i="2"/>
  <c r="Z39" i="6"/>
  <c r="O127" i="2"/>
  <c r="L127" i="2"/>
  <c r="J163" i="2"/>
  <c r="J162" i="2"/>
  <c r="O112" i="2"/>
  <c r="U199" i="2"/>
  <c r="R157" i="2"/>
  <c r="X209" i="2"/>
  <c r="X210" i="2"/>
  <c r="AE190" i="2"/>
  <c r="F80" i="2"/>
  <c r="F157" i="2"/>
  <c r="AB298" i="2"/>
  <c r="X299" i="2"/>
  <c r="C162" i="2"/>
  <c r="AB297" i="2"/>
  <c r="C161" i="2"/>
  <c r="AA209" i="2"/>
  <c r="T210" i="2"/>
  <c r="R161" i="2"/>
  <c r="X199" i="2"/>
  <c r="Z54" i="6"/>
  <c r="L112" i="2"/>
  <c r="J157" i="2"/>
  <c r="O79" i="2"/>
  <c r="Z16" i="6"/>
  <c r="AE191" i="2"/>
  <c r="AE197" i="2"/>
  <c r="AZ17" i="6"/>
  <c r="AA211" i="2"/>
  <c r="X211" i="2"/>
  <c r="AE195" i="2"/>
  <c r="AZ14" i="6"/>
  <c r="AZ15" i="6"/>
  <c r="X160" i="2"/>
  <c r="AI20" i="4"/>
  <c r="AZ18" i="6"/>
  <c r="AE199" i="2"/>
  <c r="X298" i="2"/>
  <c r="Z40" i="6"/>
  <c r="F81" i="2"/>
  <c r="F69" i="4"/>
  <c r="I77" i="4"/>
  <c r="B77" i="4"/>
  <c r="B63" i="4"/>
  <c r="AZ20" i="6"/>
  <c r="AE201" i="2"/>
  <c r="AZ22" i="6"/>
  <c r="H74" i="4"/>
  <c r="F70" i="4"/>
  <c r="E74" i="4"/>
  <c r="I60" i="4"/>
  <c r="I63" i="4"/>
  <c r="F72" i="4"/>
  <c r="Z17" i="6"/>
  <c r="F17" i="6"/>
  <c r="F71" i="4"/>
  <c r="B60" i="4"/>
  <c r="I65" i="4"/>
  <c r="F67" i="4"/>
  <c r="L80" i="2"/>
  <c r="F158" i="2"/>
  <c r="F167" i="2"/>
  <c r="AB294" i="2"/>
  <c r="C158" i="2"/>
  <c r="X294" i="2"/>
  <c r="J158" i="2"/>
  <c r="O81" i="2"/>
  <c r="C163" i="2"/>
  <c r="AB299" i="2"/>
  <c r="C164" i="2"/>
  <c r="AB300" i="2"/>
  <c r="X300" i="2"/>
  <c r="X292" i="2"/>
  <c r="L81" i="2"/>
  <c r="O140" i="2"/>
  <c r="X303" i="2"/>
  <c r="AJ56" i="6"/>
  <c r="J140" i="2"/>
  <c r="Q129" i="2"/>
  <c r="J142" i="2"/>
  <c r="AJ58" i="6"/>
  <c r="D31" i="4"/>
  <c r="E144" i="2"/>
  <c r="Q31" i="4"/>
  <c r="B3" i="17"/>
  <c r="B6" i="17"/>
  <c r="R148" i="2"/>
  <c r="E152" i="2"/>
  <c r="BA67" i="6"/>
  <c r="AU71" i="6"/>
  <c r="AQ71" i="6"/>
  <c r="B4" i="17"/>
  <c r="BB71" i="6"/>
  <c r="B5" i="17"/>
  <c r="AN71" i="6"/>
  <c r="B10" i="17"/>
  <c r="BH22" i="2"/>
</calcChain>
</file>

<file path=xl/comments1.xml><?xml version="1.0" encoding="utf-8"?>
<comments xmlns="http://schemas.openxmlformats.org/spreadsheetml/2006/main">
  <authors>
    <author>Rolando lopez</author>
    <author>Rolando</author>
  </authors>
  <commentList>
    <comment ref="B51" authorId="0">
      <text>
        <r>
          <rPr>
            <b/>
            <sz val="9"/>
            <color indexed="81"/>
            <rFont val="Tahoma"/>
            <family val="2"/>
          </rPr>
          <t>INDICAR EN QUE REPARTICION O ENTIDAD SERÁ PRESNTADO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>TAREAS DE 
ASESORAMIENTO
CROQUIS PARA HABILITACION
TAREA PROFESIONAL MINIMA</t>
        </r>
      </text>
    </comment>
    <comment ref="B142" authorId="0">
      <text>
        <r>
          <rPr>
            <b/>
            <sz val="10"/>
            <color indexed="81"/>
            <rFont val="Tahoma"/>
            <family val="2"/>
          </rPr>
          <t>Colocar el Monto del
Contrato a CONVENIR.
Debe ser Mayor que los Minimos Determinados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44" authorId="1">
      <text>
        <r>
          <rPr>
            <b/>
            <sz val="9"/>
            <color indexed="81"/>
            <rFont val="Tahoma"/>
            <family val="2"/>
          </rPr>
          <t>SE DEBEN HABILITAR  LOS MACROS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<sst xmlns="http://schemas.openxmlformats.org/spreadsheetml/2006/main" count="1637" uniqueCount="706">
  <si>
    <t>CONTRATACION OBLIGATORIA DE TAREAS PROFESIONALES</t>
  </si>
  <si>
    <t xml:space="preserve">En la ciudad de </t>
  </si>
  <si>
    <t>entre</t>
  </si>
  <si>
    <t>con titulo profesional de</t>
  </si>
  <si>
    <t>, Matricula Colegio de Tecnicos Nro.</t>
  </si>
  <si>
    <t>para</t>
  </si>
  <si>
    <t xml:space="preserve">del Partido  de   </t>
  </si>
  <si>
    <t>CIRC.</t>
  </si>
  <si>
    <t>SECC.</t>
  </si>
  <si>
    <t>MANZ.</t>
  </si>
  <si>
    <t>PARC.</t>
  </si>
  <si>
    <t>CV=</t>
  </si>
  <si>
    <t>Ng =</t>
  </si>
  <si>
    <t>K1 =</t>
  </si>
  <si>
    <t>MO =</t>
  </si>
  <si>
    <t>Be =</t>
  </si>
  <si>
    <t>Na =</t>
  </si>
  <si>
    <t>F=(M1+M2+M3/MO =</t>
  </si>
  <si>
    <t>NE =</t>
  </si>
  <si>
    <t>K2 =</t>
  </si>
  <si>
    <t>M1 =</t>
  </si>
  <si>
    <t>Bac=</t>
  </si>
  <si>
    <t>Bv =</t>
  </si>
  <si>
    <t>T =</t>
  </si>
  <si>
    <t>Nv =</t>
  </si>
  <si>
    <t>K3 =</t>
  </si>
  <si>
    <t>M2 =</t>
  </si>
  <si>
    <t>Bg =</t>
  </si>
  <si>
    <t>S =</t>
  </si>
  <si>
    <t>Nac=</t>
  </si>
  <si>
    <t>P =</t>
  </si>
  <si>
    <t>M3 =</t>
  </si>
  <si>
    <t>Ba =</t>
  </si>
  <si>
    <t>Vi=(k1*CV+K2*S+0,54 K3*T)*P*F+NE*Be+Ng*Bg+Na*Ba+Nac*Bac+NvBv</t>
  </si>
  <si>
    <t xml:space="preserve"> DETERMINACIÓN DEL HONORARIO</t>
  </si>
  <si>
    <t>V.I.</t>
  </si>
  <si>
    <t>Hasta</t>
  </si>
  <si>
    <t>TOTAL</t>
  </si>
  <si>
    <t>Inciso a) Tabla XXI</t>
  </si>
  <si>
    <t xml:space="preserve"> </t>
  </si>
  <si>
    <t xml:space="preserve">    </t>
  </si>
  <si>
    <t>0,5 % V.I.</t>
  </si>
  <si>
    <t>Tiempo empleado</t>
  </si>
  <si>
    <t xml:space="preserve"> Hasta</t>
  </si>
  <si>
    <t>Honorario base (h / Fc)</t>
  </si>
  <si>
    <t>Total parcial (I)</t>
  </si>
  <si>
    <t xml:space="preserve"> VISADO Nº:</t>
  </si>
  <si>
    <t>% de (A)</t>
  </si>
  <si>
    <t>Total parcial (II)</t>
  </si>
  <si>
    <t>)</t>
  </si>
  <si>
    <t>Sigue al dorso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</si>
  <si>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</si>
  <si>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</si>
  <si>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</si>
  <si>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</si>
  <si>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</si>
  <si>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</si>
  <si>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Fecha</t>
  </si>
  <si>
    <t>CUOTA EJERCICIO PROFESIONAL</t>
  </si>
  <si>
    <t>PLANILLA DE INGRESO DE DATOS</t>
  </si>
  <si>
    <t>CIUDAD EN LA QUE SE FIRMA EL CONTRATO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</si>
  <si>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</si>
  <si>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</si>
  <si>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</si>
  <si>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</si>
  <si>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</si>
  <si>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</si>
  <si>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 xml:space="preserve">CLAUSULAS Y CONDICIONES ESPECIALES </t>
  </si>
  <si>
    <t>JURISDICCION DE TRIBUNALES ACTUANTES</t>
  </si>
  <si>
    <t>K1</t>
  </si>
  <si>
    <t>HP</t>
  </si>
  <si>
    <t>Motores</t>
  </si>
  <si>
    <t>BOCAS</t>
  </si>
  <si>
    <t>CV</t>
  </si>
  <si>
    <t xml:space="preserve"> 1 a 5</t>
  </si>
  <si>
    <t>6 a 11</t>
  </si>
  <si>
    <t>12 a 20</t>
  </si>
  <si>
    <t>21 a 50</t>
  </si>
  <si>
    <t>+50</t>
  </si>
  <si>
    <t>CANT. DE MAQUINAS</t>
  </si>
  <si>
    <t>Hasta 5</t>
  </si>
  <si>
    <t>BE</t>
  </si>
  <si>
    <t>5.1 a 10</t>
  </si>
  <si>
    <t>P</t>
  </si>
  <si>
    <t>10.1 a 50</t>
  </si>
  <si>
    <t>F</t>
  </si>
  <si>
    <t>50.1 a 100</t>
  </si>
  <si>
    <t>100.1 a 200</t>
  </si>
  <si>
    <t>200.1 a 500</t>
  </si>
  <si>
    <t>Vi. Proy.</t>
  </si>
  <si>
    <t>+ de 500</t>
  </si>
  <si>
    <t>Vi. Medic.</t>
  </si>
  <si>
    <t>Vi. Informe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</si>
  <si>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</si>
  <si>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</si>
  <si>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</si>
  <si>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</si>
  <si>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</si>
  <si>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</si>
  <si>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</si>
  <si>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c) Informe Tecnico (s/tit.II -art. 5º)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</si>
  <si>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</si>
  <si>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</si>
  <si>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</si>
  <si>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</si>
  <si>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</si>
  <si>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</si>
  <si>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</si>
  <si>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</si>
  <si>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</si>
  <si>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</si>
  <si>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</si>
  <si>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</si>
  <si>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</si>
  <si>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</si>
  <si>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</si>
  <si>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</si>
  <si>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</si>
  <si>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Vi. Insp. Ens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</si>
  <si>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</si>
  <si>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</si>
  <si>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</si>
  <si>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</si>
  <si>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Proyecto y Dirección Cat. S/tabla XVII</t>
  </si>
  <si>
    <t>b) Medicion: Título VIII (exc.  Incs.  C y d)</t>
  </si>
  <si>
    <t>S/inc. B</t>
  </si>
  <si>
    <t>S/in. A</t>
  </si>
  <si>
    <t>a) DETERMINACION DEL HONORARIO</t>
  </si>
  <si>
    <t>b) Descomposicion de Honorario</t>
  </si>
  <si>
    <t>c) Mediciones: Titulo VIII (exc. Incs C Y d)</t>
  </si>
  <si>
    <t>d) Informe Tecnico (s/tit.II -art. 5º)</t>
  </si>
  <si>
    <t>e) Inspeccion y Ensayos Electromecanicos (  )</t>
  </si>
  <si>
    <t>e)  Descomposición de Honorario</t>
  </si>
  <si>
    <t>APORTE 10% ( h )</t>
  </si>
  <si>
    <t xml:space="preserve">d-1 ) Proyecto </t>
  </si>
  <si>
    <r>
      <t xml:space="preserve">Valor por </t>
    </r>
    <r>
      <rPr>
        <b/>
        <sz val="10"/>
        <color indexed="8"/>
        <rFont val="Arial"/>
        <family val="2"/>
      </rPr>
      <t>MEDICION</t>
    </r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</si>
  <si>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</si>
  <si>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INSPECCION Y ENSAYO ELECTROMECANICO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</si>
  <si>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</si>
  <si>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f) Representacion Tecnica</t>
  </si>
  <si>
    <t>Vi. Rep.Tec.</t>
  </si>
  <si>
    <t>b) Honorario Por Proyecto</t>
  </si>
  <si>
    <t>Los Siguientes</t>
  </si>
  <si>
    <t>Honorario</t>
  </si>
  <si>
    <t>Proyecto</t>
  </si>
  <si>
    <t>Direccion</t>
  </si>
  <si>
    <t>Determinacion del Honorario</t>
  </si>
  <si>
    <t>Honorario Convenido  ( h )</t>
  </si>
  <si>
    <t>en adelante el COMITENTE, y</t>
  </si>
  <si>
    <t>C.U.I.T.</t>
  </si>
  <si>
    <t>y legal en</t>
  </si>
  <si>
    <t>LOCALIDAD</t>
  </si>
  <si>
    <t>s/los sigui.</t>
  </si>
  <si>
    <t xml:space="preserve">Insiso B </t>
  </si>
  <si>
    <t>Min. Inc. A</t>
  </si>
  <si>
    <t>g) Habilitacion de Ascensores</t>
  </si>
  <si>
    <t>Hasta 5 Paradas</t>
  </si>
  <si>
    <t>De 6 a 10 Paradas</t>
  </si>
  <si>
    <t>Mas de 10 Paradas</t>
  </si>
  <si>
    <r>
      <t xml:space="preserve">Valor por </t>
    </r>
    <r>
      <rPr>
        <b/>
        <sz val="10"/>
        <color indexed="8"/>
        <rFont val="Arial"/>
        <family val="2"/>
      </rPr>
      <t>Habilitacion de Ascensores</t>
    </r>
  </si>
  <si>
    <t>n· de paradas</t>
  </si>
  <si>
    <t>Minimos Ascensores</t>
  </si>
  <si>
    <t>Paradas</t>
  </si>
  <si>
    <t>OBSERVACIONES:</t>
  </si>
  <si>
    <t>Equipo  3</t>
  </si>
  <si>
    <t>Equipo  2</t>
  </si>
  <si>
    <t>Equipo  1</t>
  </si>
  <si>
    <t>Proyecto y direccion</t>
  </si>
  <si>
    <t>Medicion</t>
  </si>
  <si>
    <t>Informe Tecnico</t>
  </si>
  <si>
    <t>Represent.  Tecnica</t>
  </si>
  <si>
    <t>, vencido el cual deberan</t>
  </si>
  <si>
    <t>Cat.</t>
  </si>
  <si>
    <t>cat.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</si>
  <si>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</si>
  <si>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</si>
  <si>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</si>
  <si>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</si>
  <si>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</si>
  <si>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</si>
  <si>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C.E.P.</t>
  </si>
  <si>
    <r>
      <t xml:space="preserve">Valor por </t>
    </r>
    <r>
      <rPr>
        <b/>
        <sz val="10"/>
        <color indexed="8"/>
        <rFont val="Arial"/>
        <family val="2"/>
      </rPr>
      <t>PROYECTO</t>
    </r>
  </si>
  <si>
    <t>FRACCION</t>
  </si>
  <si>
    <t>FRCCION</t>
  </si>
  <si>
    <t>LOTE / Dto.</t>
  </si>
  <si>
    <t>Lote / Dto.</t>
  </si>
  <si>
    <t>Equipo  4</t>
  </si>
  <si>
    <t>Inspeccion y Ensayo Electrom.</t>
  </si>
  <si>
    <t>DETERMINACION DE MINIMOS</t>
  </si>
  <si>
    <t>Minimos por la tarea de inspeccion y ensayo</t>
  </si>
  <si>
    <t>H.C.</t>
  </si>
  <si>
    <t>Med.</t>
  </si>
  <si>
    <t>Inf. Tec.</t>
  </si>
  <si>
    <t>Ins. Y Ens.</t>
  </si>
  <si>
    <t>Minimos por la tarea de informe Tecnico</t>
  </si>
  <si>
    <t>Proy.</t>
  </si>
  <si>
    <t xml:space="preserve">Minimos por tarea medicion </t>
  </si>
  <si>
    <t>Minimos de Tareas</t>
  </si>
  <si>
    <t>Cualquier Tarea</t>
  </si>
  <si>
    <t>Informe Tec. y Medic.</t>
  </si>
  <si>
    <t>Proy. Ó Proy. Y Direc.</t>
  </si>
  <si>
    <t>e-2) Direc.</t>
  </si>
  <si>
    <t>e-1) Proy.</t>
  </si>
  <si>
    <t>Supl. Direccion por Cont. Separados 100% de (e-2)</t>
  </si>
  <si>
    <t>Sup.Direc. Por Cont. Separados 100% de  d-2</t>
  </si>
  <si>
    <t>PROYECTO</t>
  </si>
  <si>
    <t>PROYECTO y DIRECCION</t>
  </si>
  <si>
    <t>INSPECCION y ENSAYO</t>
  </si>
  <si>
    <t>REPRESENTACION TECNICA</t>
  </si>
  <si>
    <t>HABILITACION DE ASCENSORES</t>
  </si>
  <si>
    <t>MEDICION</t>
  </si>
  <si>
    <t>INFORME TECNICO</t>
  </si>
  <si>
    <t>TAREAS PROFESIONALES</t>
  </si>
  <si>
    <t>MEDICION e INFORME TECNICO</t>
  </si>
  <si>
    <t xml:space="preserve">             arriba   indicados   y   se   someten   a   la   Jurisdicción   de   los   tribunales   ordinarios   de     </t>
  </si>
  <si>
    <t xml:space="preserve">             renunciando a todo otro fuero o jurisdicción.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</si>
  <si>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</si>
  <si>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</si>
  <si>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</si>
  <si>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</si>
  <si>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r>
      <t xml:space="preserve">Articulo 2º : </t>
    </r>
    <r>
      <rPr>
        <sz val="10"/>
        <color indexed="8"/>
        <rFont val="Arial"/>
        <family val="2"/>
      </rPr>
      <t xml:space="preserve">Por las tares detalladas en el articulo anterior, el comitente abonará al profesional el honorario convenido en el  Art. 3º, </t>
    </r>
  </si>
  <si>
    <t xml:space="preserve">Dom. Legal </t>
  </si>
  <si>
    <t>Dom. real en</t>
  </si>
  <si>
    <t>Nom. Catastral :</t>
  </si>
  <si>
    <t xml:space="preserve"> %  s/los sigtes.</t>
  </si>
  <si>
    <t>100% de la Direccion</t>
  </si>
  <si>
    <r>
      <t xml:space="preserve">Artículo  3º: </t>
    </r>
    <r>
      <rPr>
        <sz val="10"/>
        <color indexed="8"/>
        <rFont val="Arial"/>
        <family val="2"/>
      </rPr>
      <t xml:space="preserve">A los fines indicativos del honorario mínimo calculado al día de fecha se practica la liquidacion provisoria y a los   </t>
    </r>
  </si>
  <si>
    <t xml:space="preserve">            efectos de la  determinación  del  impuesto  de  sellos  que  devenga  el   presente  contrato :</t>
  </si>
  <si>
    <t>##</t>
  </si>
  <si>
    <t>CUIT</t>
  </si>
  <si>
    <t xml:space="preserve"> con domicilio real en </t>
  </si>
  <si>
    <t>NOMBRE DE QUIEN FIRMA</t>
  </si>
  <si>
    <t>CARGO EN LA EMPRESA (S.G.-Presidente-Director-Apoderado-Titular)</t>
  </si>
  <si>
    <t>MEDICION - PROYECTO/DIRECCION</t>
  </si>
  <si>
    <t>Proy./Direc. y Direc. Por Cont. Sep.</t>
  </si>
  <si>
    <t>MEDIC./Proy. Direc y Direc. Por Cont. Sep.</t>
  </si>
  <si>
    <t>3ª</t>
  </si>
  <si>
    <t>5ª</t>
  </si>
  <si>
    <t xml:space="preserve"> Categoria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</si>
  <si>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</si>
  <si>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</si>
  <si>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Técnicos de la Provincia de Buenos Aires, los honorarios correspondientes a las tareas ejecutadas.</t>
  </si>
  <si>
    <t xml:space="preserve">               Teniendo derecho el PROFESIONAL a percibir previo a la fecha de la presentación para el visado definitivo ante el Colegio de </t>
  </si>
  <si>
    <r>
      <t>Artículo 7º</t>
    </r>
    <r>
      <rPr>
        <sz val="11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</si>
  <si>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r>
      <t xml:space="preserve">Artículo 8º: </t>
    </r>
    <r>
      <rPr>
        <sz val="10"/>
        <color indexed="8"/>
        <rFont val="Arial"/>
        <family val="2"/>
      </rPr>
      <t xml:space="preserve">El  PROPIETARIO  y  PROFESIONAL,  autorizan  al  Colegio  de  Tecnicos  de  la  Provincia  de  Buenos Aires,  a </t>
    </r>
  </si>
  <si>
    <r>
      <t xml:space="preserve">Artículo 9º: </t>
    </r>
    <r>
      <rPr>
        <sz val="10"/>
        <color indexed="8"/>
        <rFont val="Arial"/>
        <family val="2"/>
      </rPr>
      <t xml:space="preserve">Cláusulas y condiciones especiales y observaciones:  </t>
    </r>
  </si>
  <si>
    <r>
      <t>Artículo 10º:</t>
    </r>
    <r>
      <rPr>
        <sz val="10"/>
        <color indexed="8"/>
        <rFont val="Arial"/>
        <family val="2"/>
      </rPr>
      <t xml:space="preserve"> Este contrato se firma en ( 5 ) ( Cinco ) ejemplares (mínimo 5) de igual tenor y a un solo efecto con carácter de</t>
    </r>
  </si>
  <si>
    <r>
      <t>Artículo 6º</t>
    </r>
    <r>
      <rPr>
        <sz val="9"/>
        <color indexed="8"/>
        <rFont val="Arial"/>
        <family val="2"/>
      </rPr>
      <t xml:space="preserve">: Cuando el PROFESIONAL no perciba sus honorarios en los plazos estipulados, se producirá la mora de pleno  derecho y los </t>
    </r>
  </si>
  <si>
    <t xml:space="preserve">                  mismos serán actualizados en base al  Factor de Corrección establecido por el C.T.P.B.A.-</t>
  </si>
  <si>
    <t>Articulo 14º</t>
  </si>
  <si>
    <r>
      <t>Artículo 7º</t>
    </r>
    <r>
      <rPr>
        <sz val="9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</si>
  <si>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t>TRANSFORMADORES (Kva)</t>
  </si>
  <si>
    <r>
      <t xml:space="preserve">Vi </t>
    </r>
    <r>
      <rPr>
        <sz val="10"/>
        <color indexed="8"/>
        <rFont val="Times New Roman"/>
        <family val="1"/>
      </rPr>
      <t xml:space="preserve"> ( Resol. 161/95  Art.  2º ) = A :</t>
    </r>
  </si>
  <si>
    <t>24 (MESES)</t>
  </si>
  <si>
    <t>Para todos  los efectos legales  emergentes del presente  Contrato, las partes  constituyen domicilio  legal en los</t>
  </si>
  <si>
    <t xml:space="preserve">Artículo 11: </t>
  </si>
  <si>
    <t>CANTIDAD DE JABALINAS</t>
  </si>
  <si>
    <t>Jab.</t>
  </si>
  <si>
    <t>e1) Inspeccion y Ensayos A.R.T. 900/15 JABALINA y CONTINUIDAD</t>
  </si>
  <si>
    <t>JABALINAS</t>
  </si>
  <si>
    <t>d1) Inspeccion y ensayo ()</t>
  </si>
  <si>
    <t>d2) Inspeccion y ensayo (S.R.T. 900/15 JABALINA y CONTINUIDADA)</t>
  </si>
  <si>
    <t>MINIMO DETERMINADO</t>
  </si>
  <si>
    <t>CATEGORIA</t>
  </si>
  <si>
    <t>Ins. Y Ens. S.R.T. 900/15</t>
  </si>
  <si>
    <t>INSPECCION y ENSAYO de JABALINAS DE PUESTA a TIERRA</t>
  </si>
  <si>
    <t>MEDICION - PROYECTO</t>
  </si>
  <si>
    <t>INSPECCION y ENSAYO S.R.T. 900/15 JAB. y CONTINUIDAD</t>
  </si>
  <si>
    <t>MEDICION e INSPECCION y ENSAYO</t>
  </si>
  <si>
    <t>PARA SER PRESENTADO EN:</t>
  </si>
  <si>
    <t>OTROS</t>
  </si>
  <si>
    <r>
      <t xml:space="preserve">Artículo 1º: </t>
    </r>
    <r>
      <rPr>
        <b/>
        <sz val="9"/>
        <color indexed="8"/>
        <rFont val="Arial"/>
        <family val="2"/>
      </rPr>
      <t>El Comitente encomienda al</t>
    </r>
    <r>
      <rPr>
        <b/>
        <sz val="10"/>
        <color indexed="8"/>
        <rFont val="Arial"/>
        <family val="2"/>
      </rPr>
      <t xml:space="preserve"> Profesional</t>
    </r>
    <r>
      <rPr>
        <b/>
        <sz val="9"/>
        <color indexed="8"/>
        <rFont val="Arial"/>
        <family val="2"/>
      </rPr>
      <t xml:space="preserve"> la siguiente tarea:</t>
    </r>
  </si>
  <si>
    <t>Minimos por la tarea de inspeccion y ensayo SRT 900/15</t>
  </si>
  <si>
    <t xml:space="preserve"> ANEXO  I</t>
  </si>
  <si>
    <t>CONTRIBUCION OBLIGATORIA  Art. 29   (LEY 12490 MODIFICADO POR LEY 13753)</t>
  </si>
  <si>
    <t>RESOLUCIÓN  Nº 297</t>
  </si>
  <si>
    <t>MEDICIONES EXCEPTUADAS  DEL Art. 29</t>
  </si>
  <si>
    <t xml:space="preserve">Descripcion de las tareas </t>
  </si>
  <si>
    <t>Cantidad</t>
  </si>
  <si>
    <t>Unid</t>
  </si>
  <si>
    <t>Documentacion que acredita</t>
  </si>
  <si>
    <t>Exp. Aprobado</t>
  </si>
  <si>
    <t>Prof. Interviniente</t>
  </si>
  <si>
    <t>ESTIMACION DEL VALOR DE OBRA  PARA CALCULO DEL Art. 29 (conforme a los valores referenciales)</t>
  </si>
  <si>
    <t>Según Art.  8º Título VIII (Decreto 6964/65)</t>
  </si>
  <si>
    <t xml:space="preserve">Cálculo según normas arancelarias por Proyecto y Dirección                  </t>
  </si>
  <si>
    <t>% hasta</t>
  </si>
  <si>
    <t>% sobre los sig.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</si>
  <si>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</si>
  <si>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</si>
  <si>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</si>
  <si>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</si>
  <si>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</si>
  <si>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Suc. Bamc.</t>
  </si>
  <si>
    <t>…………………………………………………</t>
  </si>
  <si>
    <t>Firma del Profesional</t>
  </si>
  <si>
    <t>Leg.:</t>
  </si>
  <si>
    <t>Mat.:</t>
  </si>
  <si>
    <t>CUIT:</t>
  </si>
  <si>
    <t xml:space="preserve"> Obra de Ingenieria Categ. </t>
  </si>
  <si>
    <t>Bocas</t>
  </si>
  <si>
    <t>Maq.</t>
  </si>
  <si>
    <t>Contrato de Fecha</t>
  </si>
  <si>
    <t>…/……/.…..</t>
  </si>
  <si>
    <t>=</t>
  </si>
  <si>
    <r>
      <t>Determinacion</t>
    </r>
    <r>
      <rPr>
        <sz val="10"/>
        <rFont val="Arial"/>
        <family val="2"/>
      </rPr>
      <t xml:space="preserve"> Total</t>
    </r>
  </si>
  <si>
    <t>10% de la determinacion</t>
  </si>
  <si>
    <t>ENTRE EL PROFESIONAL:</t>
  </si>
  <si>
    <t>PARA LA OBRA:</t>
  </si>
  <si>
    <t>CORRESPONDIENTE AL CONTRATO CELEBRADO ÉL DIA:</t>
  </si>
  <si>
    <t>INSPECCION y ENSAYO para C.A.I.E. - T1R - T1G</t>
  </si>
  <si>
    <t>SI</t>
  </si>
  <si>
    <t>NO</t>
  </si>
  <si>
    <t xml:space="preserve">% de (a)  </t>
  </si>
  <si>
    <t>Minimos por Valor Refer.</t>
  </si>
  <si>
    <t>AMPLIATORIO</t>
  </si>
  <si>
    <t>PAGAR EL TOTAL del Art. 29 POR LA MEDICION     SI / NO</t>
  </si>
  <si>
    <t>ORIGINARIO</t>
  </si>
  <si>
    <t>,</t>
  </si>
  <si>
    <t xml:space="preserve">  </t>
  </si>
  <si>
    <t>INSPECCION Y ENSAYO - INFORME TECNICO</t>
  </si>
  <si>
    <t>Presentacion MUNICIPAL</t>
  </si>
  <si>
    <t>Presentacion ante  S.R.T.</t>
  </si>
  <si>
    <t>Presentacion en  O.p.d.s.</t>
  </si>
  <si>
    <t>Senso de Cargas  E.D.E.N.</t>
  </si>
  <si>
    <t xml:space="preserve"> =SI(Y($D$87&lt;=5;$D$87&lt;=5);1,3;V86)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</si>
  <si>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</si>
  <si>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</si>
  <si>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</si>
  <si>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</si>
  <si>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</si>
  <si>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</si>
  <si>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</si>
  <si>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</si>
  <si>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</si>
  <si>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</si>
  <si>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</si>
  <si>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</si>
  <si>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</si>
  <si>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</si>
  <si>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</si>
  <si>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</si>
  <si>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</si>
  <si>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</si>
  <si>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</si>
  <si>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</si>
  <si>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-</t>
  </si>
  <si>
    <t>Fax</t>
  </si>
  <si>
    <t>E-mail</t>
  </si>
  <si>
    <t>Observaciones</t>
  </si>
  <si>
    <t>Ubicación de la Producción, Bien o Servicio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</si>
  <si>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</si>
  <si>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Loc.</t>
  </si>
  <si>
    <t>Presentar en EDENOR S.A.</t>
  </si>
  <si>
    <t>Presentar en EDESUR S.A.</t>
  </si>
  <si>
    <t>Presentar en COOPERATIVAS</t>
  </si>
  <si>
    <t>Presentar en BOMBEROS</t>
  </si>
  <si>
    <t>:</t>
  </si>
  <si>
    <t xml:space="preserve">El que suscribe </t>
  </si>
  <si>
    <t>, con DNI nº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</si>
  <si>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</si>
  <si>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</si>
  <si>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</si>
  <si>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</si>
  <si>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</si>
  <si>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</si>
  <si>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</si>
  <si>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t>DOMICILIO REAL DEL COMITENTE  (CALLE)</t>
  </si>
  <si>
    <t>NUMERO Nº</t>
  </si>
  <si>
    <t>PARTIDO</t>
  </si>
  <si>
    <t>CODIGO POSTAL  ( CP )</t>
  </si>
  <si>
    <t>En adelante el Profesional, se conviene en celebrar  el siguiente contrato:</t>
  </si>
  <si>
    <t xml:space="preserve">ubicado en </t>
  </si>
  <si>
    <t>PROVINCIA DE BUENOS AIRES</t>
  </si>
  <si>
    <t>Hoja:</t>
  </si>
  <si>
    <t>FOTOS DEL FRENTE, GABINETE Y TABLERO Ppal.</t>
  </si>
  <si>
    <t>Ubic. inmueble:</t>
  </si>
  <si>
    <t>Calle:</t>
  </si>
  <si>
    <t>Nº</t>
  </si>
  <si>
    <t>Dto.</t>
  </si>
  <si>
    <t>Localicad de:</t>
  </si>
  <si>
    <t>CP:</t>
  </si>
  <si>
    <t>Observaciones:</t>
  </si>
  <si>
    <t>Fecha:</t>
  </si>
  <si>
    <t>COLEGIO PROFESIONAL</t>
  </si>
  <si>
    <t>MUNICIPIO</t>
  </si>
  <si>
    <t>SELLO Y FIRMA DEL PROFESIONAL</t>
  </si>
  <si>
    <t>SELLO Y FIRMA DEL VISADOR</t>
  </si>
  <si>
    <t>SELLO Y FIRMA DEL MUNICIPIO</t>
  </si>
  <si>
    <t>PLANILLA DE DATOS TECNICOS</t>
  </si>
  <si>
    <t>ANEXO "CERTIFICADO DE SUMINISTRO DE ENERGIA ELECTRICA"</t>
  </si>
  <si>
    <t>SINTESIS DEL PROYECTO DE LA INSTALACION</t>
  </si>
  <si>
    <t>DISTRITO Nº</t>
  </si>
  <si>
    <t>GRADO DE ELECTRIFICACION</t>
  </si>
  <si>
    <t>MINIMA</t>
  </si>
  <si>
    <t>MEDIA</t>
  </si>
  <si>
    <t>ELEVADA</t>
  </si>
  <si>
    <t>SUPERIOR</t>
  </si>
  <si>
    <t>NO APLICABLE</t>
  </si>
  <si>
    <t>Superficie total del inmueble:</t>
  </si>
  <si>
    <t>Potencia máxima simultánea:</t>
  </si>
  <si>
    <t>VA</t>
  </si>
  <si>
    <t>Corriente de cortocircuito máxima.</t>
  </si>
  <si>
    <t>KA</t>
  </si>
  <si>
    <t>DPMS total para el grado de electrificación: (Factor de simultaneidad)</t>
  </si>
  <si>
    <t xml:space="preserve">        </t>
  </si>
  <si>
    <t>CIRCUITO Nº</t>
  </si>
  <si>
    <t>Línea</t>
  </si>
  <si>
    <t>DESTINO</t>
  </si>
  <si>
    <t>IUG</t>
  </si>
  <si>
    <t>TUG</t>
  </si>
  <si>
    <t>TUE</t>
  </si>
  <si>
    <t>ACU</t>
  </si>
  <si>
    <t>Seccional</t>
  </si>
  <si>
    <t>POTENCIA</t>
  </si>
  <si>
    <t>IMS (A)</t>
  </si>
  <si>
    <t>IMC (A)</t>
  </si>
  <si>
    <t>INP (A)</t>
  </si>
  <si>
    <t>Nº DE BOCAS</t>
  </si>
  <si>
    <t>Total de Bocas</t>
  </si>
  <si>
    <t xml:space="preserve">                                                                                           </t>
  </si>
  <si>
    <t>AMBIENTE</t>
  </si>
  <si>
    <t>DISTRIBUCION AMBIENTAL DE LAS BOCAS</t>
  </si>
  <si>
    <t>Largo/ancho (m)</t>
  </si>
  <si>
    <t>Irregular</t>
  </si>
  <si>
    <t>Baño</t>
  </si>
  <si>
    <t>x</t>
  </si>
  <si>
    <t>Cocina</t>
  </si>
  <si>
    <t>Drm.</t>
  </si>
  <si>
    <t xml:space="preserve">               </t>
  </si>
  <si>
    <t>Nom. Catast. Circ.</t>
  </si>
  <si>
    <t>Secc.</t>
  </si>
  <si>
    <t>Frac./Chac./Qta.</t>
  </si>
  <si>
    <t>Manz.</t>
  </si>
  <si>
    <t>Parc.</t>
  </si>
  <si>
    <t>Part. Municipal</t>
  </si>
  <si>
    <t>Part. Provincial</t>
  </si>
  <si>
    <t>Datos:   Propietario</t>
  </si>
  <si>
    <t>Documento Tipo</t>
  </si>
  <si>
    <t>DNI/CUIT Nº:</t>
  </si>
  <si>
    <t>(Apellido y Nombres)</t>
  </si>
  <si>
    <t>Firma del propietario:</t>
  </si>
  <si>
    <r>
      <t>m</t>
    </r>
    <r>
      <rPr>
        <vertAlign val="superscript"/>
        <sz val="12"/>
        <rFont val="Arial"/>
        <family val="2"/>
      </rPr>
      <t>2</t>
    </r>
  </si>
  <si>
    <r>
      <t>Sección L, N (mm</t>
    </r>
    <r>
      <rPr>
        <vertAlign val="superscript"/>
        <sz val="10"/>
        <rFont val="Arial"/>
        <family val="2"/>
      </rPr>
      <t>2</t>
    </r>
    <r>
      <rPr>
        <sz val="10"/>
        <rFont val="Tahoma"/>
      </rPr>
      <t>)</t>
    </r>
  </si>
  <si>
    <r>
      <t>Sección PE (mm</t>
    </r>
    <r>
      <rPr>
        <vertAlign val="superscript"/>
        <sz val="10"/>
        <rFont val="Arial"/>
        <family val="2"/>
      </rPr>
      <t>2</t>
    </r>
    <r>
      <rPr>
        <sz val="10"/>
        <rFont val="Tahoma"/>
      </rPr>
      <t>)</t>
    </r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</si>
  <si>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Tahoma"/>
      </rPr>
      <t>)</t>
    </r>
  </si>
  <si>
    <t>Dto./Lote</t>
  </si>
  <si>
    <t>PISO</t>
  </si>
  <si>
    <t>Localidad:</t>
  </si>
  <si>
    <t>Razòn Social:</t>
  </si>
  <si>
    <t>Direccion:</t>
  </si>
  <si>
    <t>Nº:</t>
  </si>
  <si>
    <t>Provincia:</t>
  </si>
  <si>
    <t>C.U.I.T.:</t>
  </si>
  <si>
    <t>Datos para medición</t>
  </si>
  <si>
    <t>Marca, modelo y número de serie del instrumento utilizado:</t>
  </si>
  <si>
    <t>Fecha de Calibracion del Instrumento utilizado :</t>
  </si>
  <si>
    <t>Fecha de la medición:</t>
  </si>
  <si>
    <t>Hora de inicio:</t>
  </si>
  <si>
    <t>Hora de finalización:</t>
  </si>
  <si>
    <t>Observaciones :</t>
  </si>
  <si>
    <t>Documentacion que se Adjunta a la Medicion</t>
  </si>
  <si>
    <t>Certificado de Calibracion :</t>
  </si>
  <si>
    <t>Plano ò Croquis del Establecimiento :</t>
  </si>
  <si>
    <t>…………………………………………………………</t>
  </si>
  <si>
    <t>Nombre y Apellido :</t>
  </si>
  <si>
    <t>Titolo Profesional :</t>
  </si>
  <si>
    <t>Matricula CTPBA nº :</t>
  </si>
  <si>
    <t>Matricula COPIME nº :</t>
  </si>
  <si>
    <t>Razon social:</t>
  </si>
  <si>
    <t>DATOS DE LA MEDICION</t>
  </si>
  <si>
    <t>Número de tomas de tierra</t>
  </si>
  <si>
    <t>Sector</t>
  </si>
  <si>
    <t xml:space="preserve">Descripciòn de la condicion del terreno al momento de la medición </t>
  </si>
  <si>
    <t>Uso de la puesta a tierra</t>
  </si>
  <si>
    <t>Esquema de conexión a tierra utilizado</t>
  </si>
  <si>
    <t>Medicion de la puesta a tierra</t>
  </si>
  <si>
    <t>Continuidad de las masas</t>
  </si>
  <si>
    <t>Para la proteccion contra contactos indirectos se utiliza:</t>
  </si>
  <si>
    <t>El dispositivo de proteccion empleado ¿puede desconectar en forma automatica para lograr la proteccion contra contactos indirectos?</t>
  </si>
  <si>
    <t xml:space="preserve"> Lecho seco / Arcilloso / Pantanoso / Lluvias recientes / Arenos seco o humedo/ Otros</t>
  </si>
  <si>
    <t xml:space="preserve"> Toma de Tierra del neutro de Transformador / Toma de Tierra de Seguridad de Masas / De proteccion de equipos Electronicos / De Informatica / De iluminacion / De Pararrayos / Otros</t>
  </si>
  <si>
    <t>TT / TN-S / TC-C / TN-C-S / IT</t>
  </si>
  <si>
    <t xml:space="preserve">Valor obtenido en la medicion expresado en Ohms  </t>
  </si>
  <si>
    <t xml:space="preserve">Cumple </t>
  </si>
  <si>
    <t>El circuito de puesta a tierra es continuo y permanente</t>
  </si>
  <si>
    <t>El circuito de puesta a tierra tine la capacidad de carga para cunducir la corriente de falla y una resistencia apropiada</t>
  </si>
  <si>
    <t>Dispositivo Diferencial (DD), Interruptor Automatico (IA) o Fusible (Fus).</t>
  </si>
  <si>
    <t xml:space="preserve">    SI  /  NO</t>
  </si>
  <si>
    <t>SI  /  NO</t>
  </si>
  <si>
    <t>Informacion adicional:</t>
  </si>
  <si>
    <t>NATURAL</t>
  </si>
  <si>
    <t>INCANDECENTE</t>
  </si>
  <si>
    <t>GENERAL</t>
  </si>
  <si>
    <t>ARTIFICIAL</t>
  </si>
  <si>
    <t>DESCARGA</t>
  </si>
  <si>
    <t>LOCALIZADA</t>
  </si>
  <si>
    <t>MIXTA</t>
  </si>
  <si>
    <t>FLUORECENTE</t>
  </si>
  <si>
    <t>Firma, Aclaracion y Registro del Profesional Interviniente</t>
  </si>
  <si>
    <t>Analisis de los Datos  y  Mejoras a Realizar</t>
  </si>
  <si>
    <t>Conclusiones</t>
  </si>
  <si>
    <t>Recomendaciones para la adecuacion a la legislatura vigente</t>
  </si>
  <si>
    <t>C.P.:</t>
  </si>
  <si>
    <t>CROQUIS DE LOS SECTORES ENSAYADOS</t>
  </si>
  <si>
    <t>JABALINA</t>
  </si>
  <si>
    <t>Ohms</t>
  </si>
  <si>
    <t>HORA DE INICIO DE LA MEDICION</t>
  </si>
  <si>
    <t>HORA DE FINALIZACION  DE LA MEDICION</t>
  </si>
  <si>
    <t>CERTIFICADO DE CALIBRACION                                            SI / NO</t>
  </si>
  <si>
    <t>PLANO Ó CROQUIS DEL ESTABLECIMIENTO                     SI / NO</t>
  </si>
  <si>
    <t>OBSERVACIONES EN EL CONTRATO PROFESIONAL:</t>
  </si>
  <si>
    <t>METODO DE MEDICION</t>
  </si>
  <si>
    <t>Metodologia utilizada para la medicion :</t>
  </si>
  <si>
    <t>PROTOCOLO DE MEDICION DE LA PUESTA A TIERRA Y CONTINUIDAD DE LAS MASAS</t>
  </si>
  <si>
    <t>#</t>
  </si>
  <si>
    <t>VALOR ACTUALIZADO</t>
  </si>
  <si>
    <t>FECHA DEL CONTRATO</t>
  </si>
  <si>
    <t>Piso :</t>
  </si>
  <si>
    <t>KW (de maquinas estaticas)</t>
  </si>
  <si>
    <t>HP (Potencia Dinamica)</t>
  </si>
  <si>
    <t>KW (Potencia Estatica)</t>
  </si>
  <si>
    <t>INSPECCION Y ENSAYO</t>
  </si>
  <si>
    <t xml:space="preserve">en su carácter de </t>
  </si>
  <si>
    <t>FECHA CONTRATO ORIGINAL</t>
  </si>
  <si>
    <t>PRYECTO-DIRECCION Y DEREC. EJECUTIVA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</si>
  <si>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</si>
  <si>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r>
      <t xml:space="preserve"> En la pagina </t>
    </r>
    <r>
      <rPr>
        <sz val="11"/>
        <color indexed="9"/>
        <rFont val="Arial"/>
        <family val="2"/>
      </rPr>
      <t>"</t>
    </r>
    <r>
      <rPr>
        <sz val="18"/>
        <color indexed="9"/>
        <rFont val="Arial"/>
        <family val="2"/>
      </rPr>
      <t>www.carto.arba.gov.ar</t>
    </r>
    <r>
      <rPr>
        <sz val="11"/>
        <color indexed="9"/>
        <rFont val="Arial"/>
        <family val="2"/>
      </rPr>
      <t xml:space="preserve">" </t>
    </r>
    <r>
      <rPr>
        <sz val="11"/>
        <rFont val="Arial"/>
        <family val="2"/>
      </rPr>
      <t>Con la calle el numero y la localidad se obtienen los datos catastrales. (Ej.: Juan de Garay 2625, olivos)</t>
    </r>
  </si>
  <si>
    <r>
      <t xml:space="preserve">Valor por </t>
    </r>
    <r>
      <rPr>
        <b/>
        <sz val="10"/>
        <color indexed="8"/>
        <rFont val="Arial"/>
        <family val="2"/>
      </rPr>
      <t xml:space="preserve">INSPECCION Y ENSAYO   </t>
    </r>
    <r>
      <rPr>
        <b/>
        <sz val="14"/>
        <color indexed="8"/>
        <rFont val="Arial"/>
        <family val="2"/>
      </rPr>
      <t xml:space="preserve">SRT 900/15 </t>
    </r>
    <r>
      <rPr>
        <b/>
        <sz val="10"/>
        <color indexed="8"/>
        <rFont val="Arial"/>
        <family val="2"/>
      </rPr>
      <t xml:space="preserve"> (PAT)</t>
    </r>
  </si>
  <si>
    <t>EN LETRAS</t>
  </si>
  <si>
    <t>Factor de Correccion F.C.</t>
  </si>
  <si>
    <t>VALOR TOTAL DE LA OBRA / INSTALACION</t>
  </si>
  <si>
    <r>
      <rPr>
        <b/>
        <sz val="10"/>
        <rFont val="Arial"/>
        <family val="2"/>
      </rPr>
      <t xml:space="preserve">PARA ELIMINAR EL </t>
    </r>
    <r>
      <rPr>
        <b/>
        <sz val="16"/>
        <color indexed="10"/>
        <rFont val="Arial"/>
        <family val="2"/>
      </rPr>
      <t>ERROR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SE DEBE CARGAR LA</t>
    </r>
    <r>
      <rPr>
        <b/>
        <sz val="10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-  </t>
    </r>
    <r>
      <rPr>
        <b/>
        <sz val="14"/>
        <color indexed="10"/>
        <rFont val="Arial"/>
        <family val="2"/>
      </rPr>
      <t>5º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para INDUSTRIA  -</t>
    </r>
    <r>
      <rPr>
        <b/>
        <sz val="10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3º </t>
    </r>
    <r>
      <rPr>
        <b/>
        <sz val="10"/>
        <rFont val="Arial"/>
        <family val="2"/>
      </rPr>
      <t>para LOCAL O VIVIENDA</t>
    </r>
  </si>
  <si>
    <t>VALOR POR PARADAS</t>
  </si>
  <si>
    <r>
      <t xml:space="preserve">VALORES MINIMOS POR LAS  TAREAS HA REALIZAR SEGÚN DECRETO </t>
    </r>
    <r>
      <rPr>
        <b/>
        <sz val="13"/>
        <color indexed="8"/>
        <rFont val="Arial"/>
        <family val="2"/>
      </rPr>
      <t>6964/65</t>
    </r>
  </si>
  <si>
    <t>DESTINO DE LA TAREA</t>
  </si>
  <si>
    <t>Honorario del contrato original Actualizado</t>
  </si>
  <si>
    <t>COEFICIENTE   F</t>
  </si>
  <si>
    <r>
      <t xml:space="preserve">Valor por </t>
    </r>
    <r>
      <rPr>
        <b/>
        <sz val="10"/>
        <color indexed="8"/>
        <rFont val="Arial"/>
        <family val="2"/>
      </rPr>
      <t>TAREAS DE SEGURIDAD E HIGIENE</t>
    </r>
  </si>
  <si>
    <t>CHARLAS DE SEG. EN OBRA INDUSTRIA Y/O DEPOSITO</t>
  </si>
  <si>
    <t>INSPECCION OCULAR PARA ALGUNA ART (MAX 1 HORA)</t>
  </si>
  <si>
    <t>PLAN DE EVACUACION</t>
  </si>
  <si>
    <t>INFORME IGNIFUGO</t>
  </si>
  <si>
    <t>INFORME DE ILUMINACION</t>
  </si>
  <si>
    <t>INFORMES DE RUIDOS</t>
  </si>
  <si>
    <t xml:space="preserve">INFORME DE CARGA TERMICA </t>
  </si>
  <si>
    <t>LEGAJO TECNICO INDUSTRIAS CAT. 1</t>
  </si>
  <si>
    <t>DECLARACION JURADA RESIDUOS ESPECIALES CAT. 1 y 2</t>
  </si>
  <si>
    <t>VALOR CONTRATO</t>
  </si>
  <si>
    <t>APORTE</t>
  </si>
  <si>
    <t>CEP</t>
  </si>
  <si>
    <t>TIMBRADO</t>
  </si>
  <si>
    <t xml:space="preserve">DIBUJO </t>
  </si>
  <si>
    <t>PLOTEO</t>
  </si>
  <si>
    <t>MAQ</t>
  </si>
  <si>
    <t>BOCA VIVIENDA</t>
  </si>
  <si>
    <t>BOCA INDUSTRIA</t>
  </si>
  <si>
    <t>BOCA VIV. COLECTIVA</t>
  </si>
  <si>
    <t>INSP. CADA 200 M2 VIVIENDA. COLEC.</t>
  </si>
  <si>
    <t>INSP. CADA 200 M2 LOC. IND. VIV.</t>
  </si>
  <si>
    <t>GASTOS CONTRATO</t>
  </si>
  <si>
    <t>VARIOS</t>
  </si>
  <si>
    <t xml:space="preserve">LIQUDACION DE DERECHOS MUNICIPALES </t>
  </si>
  <si>
    <t>ASCENSORES POR EQUIPO</t>
  </si>
  <si>
    <t>GRUPO ELECTROGENO POR EQUIPO</t>
  </si>
  <si>
    <t>ITEM</t>
  </si>
  <si>
    <t>VALOR UNIT.</t>
  </si>
  <si>
    <t>CANTIDAD</t>
  </si>
  <si>
    <t>SUB-TOTAL</t>
  </si>
  <si>
    <t xml:space="preserve">VALOR MECANISMOS Y EQUIPOS DE ELEVACION </t>
  </si>
  <si>
    <t>PROYECTOssss</t>
  </si>
  <si>
    <t>URB 1-4-19</t>
  </si>
  <si>
    <t>FC 1-4-19</t>
  </si>
  <si>
    <t>COEF.</t>
  </si>
  <si>
    <t>SUBSISTENCIA</t>
  </si>
  <si>
    <t>REP. TECNICA</t>
  </si>
  <si>
    <t>MAQUINAS</t>
  </si>
  <si>
    <t>TRAFO</t>
  </si>
  <si>
    <t>MED</t>
  </si>
  <si>
    <t>MAS ALTO</t>
  </si>
  <si>
    <t xml:space="preserve">CANTIDADES TOTALES </t>
  </si>
  <si>
    <t>Proy-Dir-D-E</t>
  </si>
  <si>
    <t>Rep. Tec.</t>
  </si>
  <si>
    <t>Representacion Tecnica</t>
  </si>
  <si>
    <t>Minimos por tarea de Representacion Tecnica</t>
  </si>
  <si>
    <t>CATASTRAL</t>
  </si>
  <si>
    <t>Nº JABALINAS</t>
  </si>
  <si>
    <t>MINIMO CUALQUIER TAREA</t>
  </si>
  <si>
    <t>MINIMO MEDICION-INFORME TEC.</t>
  </si>
  <si>
    <t>Min, Seg. e Hig.</t>
  </si>
  <si>
    <t>KW (de maquinas Estatica)</t>
  </si>
  <si>
    <t>LENGÜETA INSTRUCTIVO</t>
  </si>
  <si>
    <t>cargue la lengüeta ingreso de datos</t>
  </si>
  <si>
    <t>solo puede modificar lo que esta en verde</t>
  </si>
  <si>
    <t>VERIFIQUE LOS DATOS CATASTRALES PARA CONTINUAR</t>
  </si>
  <si>
    <t xml:space="preserve">SI NO LO HACE TIRA ERROR </t>
  </si>
  <si>
    <t>NO SE OLVIDE LA CATEGORIA</t>
  </si>
  <si>
    <t>3º o 5º</t>
  </si>
  <si>
    <t>POR DEFECTO ESTA EN  blanco y  TIRA ERROR</t>
  </si>
  <si>
    <t>DEBE REEMPLAZAR CADA # (numeral)  POR LOS DATOS CONCRETOS</t>
  </si>
  <si>
    <t>xx (MESES)</t>
  </si>
  <si>
    <t>NO OLVIDAR LLENAR PLAZO Y FORMA DE PAGO</t>
  </si>
  <si>
    <t>xx% al firmar el contrato (x ejemplo)</t>
  </si>
  <si>
    <t xml:space="preserve">xx% a la entrega documentacion </t>
  </si>
  <si>
    <t xml:space="preserve">NO OLVIDAR LLENAR TRIBUNALES ACTUANTES </t>
  </si>
  <si>
    <t xml:space="preserve">NO OLVIDE ELEGIR SI o NO </t>
  </si>
  <si>
    <t>no olvide CORREGIR COEFICIENTE F  POR DEFECTO ESTA 1,3</t>
  </si>
  <si>
    <t>POR DEFECTO ESTA TIPO DE CONTRATO ORIGINARIO</t>
  </si>
  <si>
    <t>SI PONE</t>
  </si>
  <si>
    <r>
      <t xml:space="preserve">AMPLIATORIO  </t>
    </r>
    <r>
      <rPr>
        <sz val="10"/>
        <rFont val="Tahoma"/>
        <family val="2"/>
      </rPr>
      <t>APARECEN LENGUETAS PARA LLENAR EL CONTRATO ORIGINAR</t>
    </r>
    <r>
      <rPr>
        <b/>
        <sz val="10"/>
        <rFont val="Tahoma"/>
        <family val="2"/>
      </rPr>
      <t xml:space="preserve">IO </t>
    </r>
  </si>
  <si>
    <t xml:space="preserve">FECHA del CONTRATO ORIGINAL (DD-MM-AA) </t>
  </si>
  <si>
    <t xml:space="preserve">FACTOR DE CORRECCION DEL CONTRATO ORIGINAL </t>
  </si>
  <si>
    <t xml:space="preserve">MONTO EN PESOS DEL CONTRATO ORIGINAL </t>
  </si>
  <si>
    <t>COMPLETE LOS DATOS TECNICOS SEGUN  LAS TAREAS QUE REALICE</t>
  </si>
  <si>
    <t>DATOS DEL COMITENTE</t>
  </si>
  <si>
    <t>DATOS DEL PROFESIONAL</t>
  </si>
  <si>
    <t xml:space="preserve">CUIT </t>
  </si>
  <si>
    <t>TITULO  PROFESIONAL</t>
  </si>
  <si>
    <t xml:space="preserve">DATOS CATASTRALES DE LA OBRA </t>
  </si>
  <si>
    <t>DATOS GENERALES DEL CONTRATO</t>
  </si>
  <si>
    <t>NOMBRE Y APELLIDO</t>
  </si>
  <si>
    <t>NOMBRE  Y APELLIDO</t>
  </si>
  <si>
    <t>DOMICILIO LEGAL DEL COMITENTE (calle, nº, localidad ò IDEM)</t>
  </si>
  <si>
    <t>DOMICILIO REAL (calle y nº)</t>
  </si>
  <si>
    <t>DATOS DE LOS INSTRUMENTOS DE MEDICION</t>
  </si>
  <si>
    <t>OBSERVACIONES EN LA MEDICION</t>
  </si>
  <si>
    <t>DOMICILIO LEGAL (calle, nº, localidad ò IDEM)</t>
  </si>
  <si>
    <t>UBICACIÓN (calle)</t>
  </si>
  <si>
    <t xml:space="preserve">PARTIDO </t>
  </si>
  <si>
    <t xml:space="preserve">MARCA </t>
  </si>
  <si>
    <t>DIRECCION POR CONTRATOS SEPARADOS</t>
  </si>
  <si>
    <t>COMPLETE LOS DATOS TECNICOS SEGUN  LAS TAREAS QUE REALICE PARA OBRAS NUEVAS</t>
  </si>
  <si>
    <t>COMPLETE LOS DATOS TECNICOS SEGUN  LAS TAREAS QUE REALICE EN OBRAS EXISTENTES</t>
  </si>
  <si>
    <t>MATRICULA  Nº</t>
  </si>
  <si>
    <t>LEGAJO DE CAJA Nº</t>
  </si>
  <si>
    <t>Equipo 5</t>
  </si>
  <si>
    <t>TOTAL (h)</t>
  </si>
  <si>
    <t>TOTAL (g)</t>
  </si>
  <si>
    <t>h) Acesoramiento Tecnico</t>
  </si>
  <si>
    <t>h)   ACESORAMIENTO TECNICO</t>
  </si>
  <si>
    <r>
      <t xml:space="preserve">Valores por </t>
    </r>
    <r>
      <rPr>
        <b/>
        <sz val="10"/>
        <color indexed="8"/>
        <rFont val="Arial"/>
        <family val="2"/>
      </rPr>
      <t>TAREAS DE SEGURIDAD E HIGIENE</t>
    </r>
  </si>
  <si>
    <t>Honorario total s/decr.. 6964/65  a+b+c+d+e+f+g+h</t>
  </si>
  <si>
    <t>DEMANDA MAX. DE   Kw</t>
  </si>
  <si>
    <r>
      <t xml:space="preserve">Valor por </t>
    </r>
    <r>
      <rPr>
        <b/>
        <sz val="12"/>
        <color indexed="8"/>
        <rFont val="Arial"/>
        <family val="2"/>
      </rPr>
      <t xml:space="preserve">PROYECTO / DIREC. </t>
    </r>
  </si>
  <si>
    <r>
      <rPr>
        <b/>
        <sz val="14"/>
        <color indexed="8"/>
        <rFont val="Arial"/>
        <family val="2"/>
      </rPr>
      <t>Art. 29</t>
    </r>
    <r>
      <rPr>
        <b/>
        <sz val="10"/>
        <color indexed="8"/>
        <rFont val="Arial"/>
        <family val="2"/>
      </rPr>
      <t xml:space="preserve"> POR EL TOTAL DE LA MEDICION SI / NO</t>
    </r>
  </si>
  <si>
    <t xml:space="preserve">   </t>
  </si>
  <si>
    <t xml:space="preserve">Nota:  </t>
  </si>
  <si>
    <t>no</t>
  </si>
  <si>
    <t>Coef. "F"</t>
  </si>
  <si>
    <t>S=</t>
  </si>
  <si>
    <t xml:space="preserve">KW  = </t>
  </si>
  <si>
    <t>Kw</t>
  </si>
  <si>
    <t>INF. TEC .</t>
  </si>
  <si>
    <t>INSP. y ENS.</t>
  </si>
  <si>
    <t>DEM. MAX. KW</t>
  </si>
  <si>
    <t>INFORME TECNICO DE CARGA DE FUEGO</t>
  </si>
  <si>
    <t xml:space="preserve">                    los gastos extraordinarios previstos en el Art. 11 del Título I del mismo.</t>
  </si>
  <si>
    <t xml:space="preserve">                    inspeccionar la obra a los fines de verificar los estados de obra declarado, como así mismo serán de aplicación todas las </t>
  </si>
  <si>
    <t xml:space="preserve">                    disposiciones previstas en el Arancel aprobado por Decreto 6964/65 o sus modificatorios, siendo a cargo del COMITENTE</t>
  </si>
  <si>
    <t>obra nueva</t>
  </si>
  <si>
    <t>obra existente</t>
  </si>
  <si>
    <t>P/D</t>
  </si>
  <si>
    <t>RT</t>
  </si>
  <si>
    <t>M</t>
  </si>
  <si>
    <t>IT</t>
  </si>
  <si>
    <t>IE</t>
  </si>
  <si>
    <t>PLANO LUCHA CONTRA EL FUEGO / VIAS DE ESCAPE</t>
  </si>
  <si>
    <t>EL MISMO</t>
  </si>
  <si>
    <t xml:space="preserve">50% AL ACEPTAR EL PRESUPUESTO </t>
  </si>
  <si>
    <t>50% A LA PRESENTACION MUNICIPAL</t>
  </si>
  <si>
    <r>
      <rPr>
        <b/>
        <sz val="11"/>
        <color indexed="8"/>
        <rFont val="Arial"/>
        <family val="2"/>
      </rPr>
      <t xml:space="preserve">ENERGIAS RENOVABLES </t>
    </r>
    <r>
      <rPr>
        <b/>
        <sz val="10"/>
        <color indexed="8"/>
        <rFont val="Arial"/>
        <family val="2"/>
      </rPr>
      <t>Generacion-Inyeccion en  Kw</t>
    </r>
  </si>
  <si>
    <t>TOTAL EERR (V.I.)</t>
  </si>
  <si>
    <t>FORMULA EERR</t>
  </si>
  <si>
    <t>PRTOCOLO DE MEDICION DE LA PUESTA A TIERRA Y CONTINUIDAD DE LAS MASAS</t>
  </si>
  <si>
    <t xml:space="preserve"> -</t>
  </si>
  <si>
    <t>CERTIFICADO DE CALIBRACION DEL INSTRUMENTO</t>
  </si>
  <si>
    <r>
      <t xml:space="preserve"> V.I.   </t>
    </r>
    <r>
      <rPr>
        <b/>
        <sz val="11"/>
        <color indexed="8"/>
        <rFont val="Arial"/>
        <family val="2"/>
      </rPr>
      <t>EE RR</t>
    </r>
  </si>
  <si>
    <t>Vi=(k1*CV+K2*S+0,54 K3*T)*P*F+NE*Be</t>
  </si>
  <si>
    <t xml:space="preserve"> -ASESORAMIENTO TECNICO</t>
  </si>
  <si>
    <t xml:space="preserve"> -CROQUIS PARA HABILITACION</t>
  </si>
  <si>
    <t xml:space="preserve"> -TAREA FROFESINAL MINIMA</t>
  </si>
  <si>
    <t>CANTIDAD DE MAQUINAS</t>
  </si>
  <si>
    <t>VEINNTISES MIL QUINIENTOS NOVENTA Y NUEVE</t>
  </si>
  <si>
    <t>MINIMO  SRT 900/15</t>
  </si>
  <si>
    <t>HONORARIO DETERMINADO</t>
  </si>
  <si>
    <t>Min. Jab. 900/15</t>
  </si>
  <si>
    <t>S&amp;H</t>
  </si>
  <si>
    <t>ASC.</t>
  </si>
  <si>
    <t>REP. TEC.</t>
  </si>
  <si>
    <t>INSP. ENSAYO</t>
  </si>
  <si>
    <t>SRT900/15</t>
  </si>
  <si>
    <t>INF. TEC.</t>
  </si>
  <si>
    <t>MED.</t>
  </si>
  <si>
    <t>PROY.</t>
  </si>
  <si>
    <t>PROY,/DIR.</t>
  </si>
  <si>
    <t>MIN. X TREA PROF.</t>
  </si>
  <si>
    <t>S104</t>
  </si>
  <si>
    <t>MAXIMO MINIMO</t>
  </si>
  <si>
    <t>Asesoramiento</t>
  </si>
  <si>
    <t>Tareas S. H.</t>
  </si>
  <si>
    <t>Ascensores</t>
  </si>
  <si>
    <t>VALOR DE LAS TAREAS</t>
  </si>
  <si>
    <t>HONORARIO MINIMO</t>
  </si>
  <si>
    <t>r</t>
  </si>
  <si>
    <t>Leg. Tec. CAT I</t>
  </si>
  <si>
    <t>Plan de Evacuacion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</si>
</sst>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\ #,##0.00;&quot;$&quot;\ \-#,##0.00"/>
    <numFmt numFmtId="44" formatCode="_ &quot;$&quot;\ * #,##0.00_ ;_ &quot;$&quot;\ * \-#,##0.00_ ;_ &quot;$&quot;\ * &quot;-&quot;??_ ;_ @_ "/>
    <numFmt numFmtId="164" formatCode="General_)"/>
    <numFmt numFmtId="165" formatCode="&quot;$&quot;\ 0"/>
    <numFmt numFmtId="166" formatCode="_ &quot;$&quot;\ * #,##0_ ;_ &quot;$&quot;\ * \-#,##0_ ;_ &quot;$&quot;\ * &quot;-&quot;??_ ;_ @_ "/>
    <numFmt numFmtId="167" formatCode="&quot;$&quot;\ #,##0"/>
    <numFmt numFmtId="168" formatCode="0.0"/>
    <numFmt numFmtId="169" formatCode="0.00;[Red]0.00"/>
    <numFmt numFmtId="170" formatCode="&quot;$&quot;\ #,##0.00"/>
    <numFmt numFmtId="171" formatCode="[$$-2C0A]\ #,##0"/>
    <numFmt numFmtId="172" formatCode="dd/mm/yyyy;@"/>
    <numFmt numFmtId="173" formatCode="[$-F800]dddd\,\ mmmm\ dd\,\ yyyy"/>
    <numFmt numFmtId="174" formatCode="h:mm;@"/>
    <numFmt numFmtId="175" formatCode="_-[$$-2C0A]\ * #,##0_-;\-[$$-2C0A]\ * #,##0_-;_-[$$-2C0A]\ * &quot;-&quot;_-;_-@_-"/>
    <numFmt numFmtId="176" formatCode="_-[$$-2C0A]\ * #,##0.00_-;\-[$$-2C0A]\ * #,##0.00_-;_-[$$-2C0A]\ * &quot;-&quot;??_-;_-@_-"/>
    <numFmt numFmtId="177" formatCode="[$$-2C0A]\ #,##0;\-[$$-2C0A]\ #,##0"/>
    <numFmt numFmtId="178" formatCode="_-[$$-2C0A]\ * #,##0.0_-;\-[$$-2C0A]\ * #,##0.0_-;_-[$$-2C0A]\ * &quot;-&quot;?_-;_-@_-"/>
    <numFmt numFmtId="179" formatCode="_-[$$-2C0A]\ * #,##0.000_-;\-[$$-2C0A]\ * #,##0.000_-;_-[$$-2C0A]\ * &quot;-&quot;???_-;_-@_-"/>
  </numFmts>
  <fonts count="129">
    <font>
      <sz val="10"/>
      <name val="Tahoma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sz val="20"/>
      <color indexed="8"/>
      <name val="Arial"/>
      <family val="2"/>
    </font>
    <font>
      <sz val="10"/>
      <name val="Tahoma"/>
      <family val="2"/>
    </font>
    <font>
      <sz val="9"/>
      <color indexed="8"/>
      <name val="Times New Roman"/>
      <family val="1"/>
    </font>
    <font>
      <b/>
      <sz val="18"/>
      <color indexed="8"/>
      <name val="Arial"/>
      <family val="2"/>
    </font>
    <font>
      <b/>
      <i/>
      <sz val="11"/>
      <color indexed="8"/>
      <name val="Baskerville Old Face"/>
      <family val="1"/>
    </font>
    <font>
      <b/>
      <i/>
      <sz val="9"/>
      <color indexed="8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b/>
      <sz val="16"/>
      <color indexed="10"/>
      <name val="Arial"/>
      <family val="2"/>
    </font>
    <font>
      <b/>
      <i/>
      <sz val="8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5"/>
      <name val="Garamond"/>
      <family val="1"/>
    </font>
    <font>
      <b/>
      <sz val="12"/>
      <name val="Garamond"/>
      <family val="1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name val="Tahoma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24"/>
      <name val="Arial Black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High Tower Text"/>
      <family val="1"/>
    </font>
    <font>
      <b/>
      <sz val="12"/>
      <name val="Baskerville Old Face"/>
      <family val="1"/>
    </font>
    <font>
      <sz val="14"/>
      <name val="Baskerville Old Face"/>
      <family val="1"/>
    </font>
    <font>
      <sz val="12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sz val="14"/>
      <name val="Berlin Sans FB Demi"/>
      <family val="2"/>
    </font>
    <font>
      <sz val="16"/>
      <color indexed="9"/>
      <name val="Impact"/>
      <family val="2"/>
    </font>
    <font>
      <u/>
      <sz val="12"/>
      <name val="Arial"/>
      <family val="2"/>
    </font>
    <font>
      <b/>
      <sz val="14"/>
      <name val="Baskerville Old Face"/>
      <family val="1"/>
    </font>
    <font>
      <sz val="16"/>
      <name val="Arial"/>
      <family val="2"/>
    </font>
    <font>
      <sz val="14"/>
      <color indexed="9"/>
      <name val="Impact"/>
      <family val="2"/>
    </font>
    <font>
      <b/>
      <i/>
      <u/>
      <sz val="12"/>
      <name val="Bell MT"/>
      <family val="1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8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i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24"/>
      <name val="Swis721 BlkEx BT"/>
      <family val="2"/>
    </font>
    <font>
      <sz val="28"/>
      <name val="Tahoma"/>
      <family val="2"/>
    </font>
    <font>
      <sz val="18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sz val="9"/>
      <name val="Tahoma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47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47"/>
      </bottom>
      <diagonal/>
    </border>
    <border>
      <left style="medium">
        <color indexed="47"/>
      </left>
      <right/>
      <top style="medium">
        <color indexed="47"/>
      </top>
      <bottom style="medium">
        <color indexed="47"/>
      </bottom>
      <diagonal/>
    </border>
    <border>
      <left/>
      <right/>
      <top style="medium">
        <color indexed="47"/>
      </top>
      <bottom style="medium">
        <color indexed="47"/>
      </bottom>
      <diagonal/>
    </border>
    <border>
      <left/>
      <right style="medium">
        <color indexed="47"/>
      </right>
      <top style="medium">
        <color indexed="47"/>
      </top>
      <bottom style="medium">
        <color indexed="47"/>
      </bottom>
      <diagonal/>
    </border>
    <border>
      <left style="medium">
        <color indexed="47"/>
      </left>
      <right/>
      <top style="medium">
        <color indexed="47"/>
      </top>
      <bottom/>
      <diagonal/>
    </border>
    <border>
      <left/>
      <right style="medium">
        <color indexed="47"/>
      </right>
      <top style="medium">
        <color indexed="47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62" fillId="0" borderId="0" applyFont="0" applyFill="0" applyBorder="0" applyAlignment="0" applyProtection="0"/>
    <xf numFmtId="0" fontId="102" fillId="0" borderId="0"/>
    <xf numFmtId="0" fontId="62" fillId="0" borderId="0"/>
    <xf numFmtId="0" fontId="36" fillId="0" borderId="0"/>
    <xf numFmtId="9" fontId="62" fillId="0" borderId="0" applyFont="0" applyFill="0" applyBorder="0" applyAlignment="0" applyProtection="0"/>
  </cellStyleXfs>
  <cellXfs count="1845">
    <xf numFmtId="0" fontId="0" fillId="0" borderId="0" xfId="0"/>
    <xf numFmtId="0" fontId="9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Protection="1"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8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9" fillId="2" borderId="0" xfId="0" applyNumberFormat="1" applyFont="1" applyFill="1" applyProtection="1">
      <protection hidden="1"/>
    </xf>
    <xf numFmtId="1" fontId="15" fillId="2" borderId="0" xfId="0" applyNumberFormat="1" applyFont="1" applyFill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9" fontId="2" fillId="0" borderId="0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Protection="1"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" fontId="3" fillId="0" borderId="0" xfId="0" applyNumberFormat="1" applyFont="1" applyBorder="1" applyProtection="1"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70" fontId="1" fillId="0" borderId="0" xfId="0" applyNumberFormat="1" applyFont="1" applyProtection="1">
      <protection hidden="1"/>
    </xf>
    <xf numFmtId="0" fontId="1" fillId="0" borderId="0" xfId="0" applyFont="1" applyFill="1" applyProtection="1"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Border="1" applyProtection="1">
      <protection hidden="1"/>
    </xf>
    <xf numFmtId="1" fontId="15" fillId="2" borderId="0" xfId="0" applyNumberFormat="1" applyFont="1" applyFill="1" applyBorder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2" fillId="2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1" fontId="3" fillId="0" borderId="0" xfId="0" applyNumberFormat="1" applyFont="1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Fill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15" fillId="0" borderId="0" xfId="0" applyNumberFormat="1" applyFont="1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Protection="1">
      <protection hidden="1"/>
    </xf>
    <xf numFmtId="0" fontId="0" fillId="0" borderId="0" xfId="0" applyFill="1" applyBorder="1"/>
    <xf numFmtId="0" fontId="1" fillId="0" borderId="0" xfId="0" applyFont="1" applyProtection="1">
      <protection locked="0"/>
    </xf>
    <xf numFmtId="0" fontId="23" fillId="2" borderId="0" xfId="0" applyFont="1" applyFill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2" borderId="0" xfId="0" applyFont="1" applyFill="1" applyProtection="1">
      <protection hidden="1"/>
    </xf>
    <xf numFmtId="10" fontId="2" fillId="3" borderId="0" xfId="0" applyNumberFormat="1" applyFont="1" applyFill="1" applyAlignment="1" applyProtection="1">
      <alignment horizontal="center" vertical="center"/>
      <protection hidden="1"/>
    </xf>
    <xf numFmtId="9" fontId="2" fillId="3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Border="1" applyProtection="1">
      <protection hidden="1"/>
    </xf>
    <xf numFmtId="0" fontId="26" fillId="0" borderId="0" xfId="0" applyFont="1" applyBorder="1" applyAlignment="1"/>
    <xf numFmtId="0" fontId="27" fillId="0" borderId="0" xfId="0" applyFont="1" applyBorder="1" applyAlignment="1">
      <alignment vertical="top" wrapText="1"/>
    </xf>
    <xf numFmtId="0" fontId="14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7" fillId="0" borderId="0" xfId="0" applyFont="1" applyBorder="1" applyProtection="1">
      <protection hidden="1"/>
    </xf>
    <xf numFmtId="0" fontId="5" fillId="0" borderId="1" xfId="0" applyFont="1" applyBorder="1" applyProtection="1">
      <protection hidden="1"/>
    </xf>
    <xf numFmtId="166" fontId="5" fillId="0" borderId="0" xfId="0" applyNumberFormat="1" applyFont="1" applyProtection="1">
      <protection hidden="1"/>
    </xf>
    <xf numFmtId="167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66" fontId="7" fillId="0" borderId="0" xfId="0" applyNumberFormat="1" applyFont="1" applyProtection="1">
      <protection hidden="1"/>
    </xf>
    <xf numFmtId="2" fontId="7" fillId="0" borderId="0" xfId="0" applyNumberFormat="1" applyFont="1" applyAlignment="1" applyProtection="1">
      <alignment horizontal="left"/>
      <protection hidden="1"/>
    </xf>
    <xf numFmtId="167" fontId="5" fillId="0" borderId="0" xfId="0" applyNumberFormat="1" applyFont="1" applyProtection="1">
      <protection hidden="1"/>
    </xf>
    <xf numFmtId="0" fontId="7" fillId="0" borderId="0" xfId="0" applyFont="1" applyBorder="1" applyAlignment="1" applyProtection="1">
      <protection hidden="1"/>
    </xf>
    <xf numFmtId="2" fontId="5" fillId="0" borderId="0" xfId="0" applyNumberFormat="1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locked="0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Protection="1">
      <protection hidden="1"/>
    </xf>
    <xf numFmtId="9" fontId="2" fillId="0" borderId="0" xfId="0" applyNumberFormat="1" applyFont="1" applyFill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left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68" fontId="3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right"/>
      <protection hidden="1"/>
    </xf>
    <xf numFmtId="2" fontId="2" fillId="0" borderId="0" xfId="0" applyNumberFormat="1" applyFont="1" applyBorder="1" applyProtection="1"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2" fillId="0" borderId="0" xfId="0" applyFont="1" applyFill="1" applyAlignment="1" applyProtection="1">
      <alignment horizontal="right"/>
      <protection hidden="1"/>
    </xf>
    <xf numFmtId="0" fontId="29" fillId="0" borderId="0" xfId="0" applyFont="1" applyAlignment="1" applyProtection="1">
      <alignment horizontal="right"/>
      <protection hidden="1"/>
    </xf>
    <xf numFmtId="0" fontId="33" fillId="4" borderId="0" xfId="0" applyFont="1" applyFill="1" applyProtection="1"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168" fontId="5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1" fontId="2" fillId="6" borderId="11" xfId="0" applyNumberFormat="1" applyFont="1" applyFill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19" fillId="2" borderId="0" xfId="0" applyNumberFormat="1" applyFont="1" applyFill="1" applyAlignment="1" applyProtection="1">
      <alignment horizontal="center"/>
      <protection hidden="1"/>
    </xf>
    <xf numFmtId="1" fontId="15" fillId="2" borderId="0" xfId="0" applyNumberFormat="1" applyFont="1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" fontId="5" fillId="0" borderId="10" xfId="0" applyNumberFormat="1" applyFont="1" applyBorder="1" applyAlignment="1" applyProtection="1">
      <alignment horizontal="center"/>
      <protection hidden="1"/>
    </xf>
    <xf numFmtId="1" fontId="5" fillId="2" borderId="10" xfId="0" applyNumberFormat="1" applyFont="1" applyFill="1" applyBorder="1" applyAlignment="1" applyProtection="1">
      <alignment horizontal="center"/>
      <protection hidden="1"/>
    </xf>
    <xf numFmtId="1" fontId="15" fillId="0" borderId="10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8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3" fillId="6" borderId="11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20" xfId="0" applyFont="1" applyBorder="1" applyProtection="1"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1" fontId="14" fillId="2" borderId="0" xfId="0" applyNumberFormat="1" applyFont="1" applyFill="1" applyAlignment="1" applyProtection="1">
      <alignment horizontal="center"/>
      <protection hidden="1"/>
    </xf>
    <xf numFmtId="1" fontId="2" fillId="6" borderId="0" xfId="0" applyNumberFormat="1" applyFont="1" applyFill="1" applyBorder="1" applyAlignment="1" applyProtection="1">
      <alignment horizont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/>
      <protection hidden="1"/>
    </xf>
    <xf numFmtId="9" fontId="2" fillId="4" borderId="0" xfId="0" applyNumberFormat="1" applyFont="1" applyFill="1" applyAlignment="1" applyProtection="1">
      <alignment horizontal="center" vertical="center"/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168" fontId="3" fillId="7" borderId="0" xfId="0" applyNumberFormat="1" applyFont="1" applyFill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4" fontId="25" fillId="0" borderId="0" xfId="0" applyNumberFormat="1" applyFont="1" applyAlignment="1" applyProtection="1">
      <alignment horizontal="center" vertical="center"/>
      <protection hidden="1"/>
    </xf>
    <xf numFmtId="0" fontId="7" fillId="0" borderId="16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29" fillId="0" borderId="16" xfId="0" applyFont="1" applyBorder="1" applyProtection="1">
      <protection hidden="1"/>
    </xf>
    <xf numFmtId="0" fontId="29" fillId="0" borderId="0" xfId="0" applyFont="1" applyFill="1" applyBorder="1" applyProtection="1">
      <protection hidden="1"/>
    </xf>
    <xf numFmtId="0" fontId="2" fillId="0" borderId="19" xfId="0" applyFont="1" applyFill="1" applyBorder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2" fillId="0" borderId="14" xfId="0" applyFont="1" applyFill="1" applyBorder="1" applyProtection="1">
      <protection hidden="1"/>
    </xf>
    <xf numFmtId="0" fontId="7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66" fontId="7" fillId="0" borderId="0" xfId="0" applyNumberFormat="1" applyFont="1" applyAlignment="1" applyProtection="1">
      <protection hidden="1"/>
    </xf>
    <xf numFmtId="166" fontId="5" fillId="0" borderId="0" xfId="0" applyNumberFormat="1" applyFont="1" applyBorder="1" applyAlignment="1" applyProtection="1">
      <protection hidden="1"/>
    </xf>
    <xf numFmtId="0" fontId="31" fillId="0" borderId="0" xfId="0" applyFont="1" applyAlignment="1" applyProtection="1"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left"/>
      <protection hidden="1"/>
    </xf>
    <xf numFmtId="49" fontId="31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32" fillId="0" borderId="0" xfId="0" applyFont="1" applyProtection="1"/>
    <xf numFmtId="0" fontId="7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6" fillId="0" borderId="0" xfId="0" applyFont="1" applyProtection="1"/>
    <xf numFmtId="0" fontId="32" fillId="0" borderId="0" xfId="0" applyFont="1"/>
    <xf numFmtId="0" fontId="7" fillId="0" borderId="0" xfId="0" applyNumberFormat="1" applyFont="1"/>
    <xf numFmtId="0" fontId="16" fillId="0" borderId="0" xfId="0" applyFont="1"/>
    <xf numFmtId="166" fontId="1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hidden="1"/>
    </xf>
    <xf numFmtId="166" fontId="7" fillId="0" borderId="0" xfId="0" applyNumberFormat="1" applyFont="1" applyAlignment="1" applyProtection="1">
      <alignment horizontal="center"/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3" fillId="9" borderId="0" xfId="0" applyNumberFormat="1" applyFont="1" applyFill="1" applyAlignment="1" applyProtection="1">
      <alignment horizontal="center"/>
      <protection hidden="1"/>
    </xf>
    <xf numFmtId="1" fontId="3" fillId="1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Alignment="1" applyProtection="1">
      <protection hidden="1"/>
    </xf>
    <xf numFmtId="0" fontId="2" fillId="0" borderId="0" xfId="0" applyFont="1" applyBorder="1" applyAlignment="1" applyProtection="1">
      <alignment vertical="justify"/>
      <protection hidden="1"/>
    </xf>
    <xf numFmtId="1" fontId="7" fillId="0" borderId="0" xfId="0" applyNumberFormat="1" applyFont="1" applyProtection="1">
      <protection hidden="1"/>
    </xf>
    <xf numFmtId="1" fontId="7" fillId="0" borderId="0" xfId="0" applyNumberFormat="1" applyFont="1" applyAlignment="1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1" fillId="4" borderId="0" xfId="0" applyFont="1" applyFill="1" applyProtection="1">
      <protection hidden="1"/>
    </xf>
    <xf numFmtId="1" fontId="2" fillId="0" borderId="11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/>
    <xf numFmtId="0" fontId="59" fillId="0" borderId="0" xfId="0" applyFont="1" applyAlignment="1">
      <alignment horizontal="center" vertical="center"/>
    </xf>
    <xf numFmtId="0" fontId="59" fillId="0" borderId="2" xfId="0" applyFont="1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60" fillId="0" borderId="1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59" fillId="0" borderId="1" xfId="0" applyFont="1" applyBorder="1" applyAlignment="1">
      <alignment vertical="center"/>
    </xf>
    <xf numFmtId="0" fontId="60" fillId="0" borderId="4" xfId="0" applyFont="1" applyBorder="1" applyAlignment="1">
      <alignment vertical="center"/>
    </xf>
    <xf numFmtId="0" fontId="0" fillId="0" borderId="5" xfId="0" applyBorder="1"/>
    <xf numFmtId="0" fontId="0" fillId="0" borderId="9" xfId="0" applyBorder="1"/>
    <xf numFmtId="0" fontId="6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7" xfId="0" applyFont="1" applyBorder="1" applyAlignment="1">
      <alignment vertical="center"/>
    </xf>
    <xf numFmtId="0" fontId="0" fillId="0" borderId="6" xfId="0" applyBorder="1" applyAlignment="1"/>
    <xf numFmtId="0" fontId="0" fillId="0" borderId="12" xfId="0" applyBorder="1" applyAlignment="1"/>
    <xf numFmtId="0" fontId="62" fillId="0" borderId="6" xfId="0" applyFont="1" applyBorder="1" applyAlignment="1"/>
    <xf numFmtId="0" fontId="0" fillId="0" borderId="0" xfId="0" applyAlignment="1"/>
    <xf numFmtId="0" fontId="58" fillId="0" borderId="0" xfId="0" applyFont="1" applyBorder="1" applyAlignment="1">
      <alignment vertical="center" wrapText="1"/>
    </xf>
    <xf numFmtId="0" fontId="60" fillId="0" borderId="0" xfId="0" applyFont="1" applyBorder="1" applyAlignment="1"/>
    <xf numFmtId="0" fontId="62" fillId="0" borderId="0" xfId="0" applyFont="1" applyBorder="1" applyAlignment="1"/>
    <xf numFmtId="0" fontId="0" fillId="0" borderId="5" xfId="0" applyBorder="1" applyAlignment="1"/>
    <xf numFmtId="0" fontId="0" fillId="0" borderId="9" xfId="0" applyBorder="1" applyAlignment="1"/>
    <xf numFmtId="0" fontId="57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/>
    <xf numFmtId="0" fontId="60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top"/>
    </xf>
    <xf numFmtId="0" fontId="6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7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0" fillId="0" borderId="8" xfId="0" applyBorder="1" applyAlignment="1"/>
    <xf numFmtId="0" fontId="60" fillId="0" borderId="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54" fillId="0" borderId="18" xfId="0" applyFont="1" applyBorder="1" applyAlignment="1">
      <alignment vertical="center"/>
    </xf>
    <xf numFmtId="0" fontId="0" fillId="0" borderId="19" xfId="0" applyBorder="1" applyAlignment="1"/>
    <xf numFmtId="0" fontId="0" fillId="0" borderId="20" xfId="0" applyBorder="1" applyAlignment="1"/>
    <xf numFmtId="0" fontId="26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vertical="center" wrapText="1"/>
    </xf>
    <xf numFmtId="0" fontId="62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4" fillId="0" borderId="6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60" fillId="0" borderId="4" xfId="0" applyFont="1" applyBorder="1" applyAlignment="1">
      <alignment vertical="center" wrapText="1"/>
    </xf>
    <xf numFmtId="0" fontId="60" fillId="0" borderId="5" xfId="0" applyFont="1" applyBorder="1" applyAlignment="1">
      <alignment vertical="center" wrapText="1"/>
    </xf>
    <xf numFmtId="0" fontId="60" fillId="0" borderId="5" xfId="0" applyFont="1" applyBorder="1" applyAlignment="1">
      <alignment horizontal="center" vertical="center" wrapText="1"/>
    </xf>
    <xf numFmtId="0" fontId="0" fillId="0" borderId="4" xfId="0" applyBorder="1" applyAlignment="1"/>
    <xf numFmtId="0" fontId="62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25" fillId="0" borderId="0" xfId="0" applyFont="1" applyFill="1" applyProtection="1">
      <protection hidden="1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0" xfId="0" applyFill="1"/>
    <xf numFmtId="0" fontId="60" fillId="0" borderId="0" xfId="0" applyFont="1" applyBorder="1" applyAlignment="1">
      <alignment horizontal="center" vertical="center" wrapText="1"/>
    </xf>
    <xf numFmtId="1" fontId="5" fillId="0" borderId="22" xfId="0" applyNumberFormat="1" applyFont="1" applyBorder="1" applyAlignment="1" applyProtection="1">
      <alignment vertical="center"/>
      <protection hidden="1"/>
    </xf>
    <xf numFmtId="0" fontId="0" fillId="0" borderId="18" xfId="0" applyBorder="1" applyAlignment="1"/>
    <xf numFmtId="0" fontId="62" fillId="0" borderId="21" xfId="0" applyFont="1" applyBorder="1" applyAlignment="1">
      <alignment vertical="center"/>
    </xf>
    <xf numFmtId="0" fontId="60" fillId="0" borderId="6" xfId="0" applyFont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32" fillId="0" borderId="0" xfId="0" applyFont="1" applyBorder="1" applyProtection="1">
      <protection hidden="1"/>
    </xf>
    <xf numFmtId="0" fontId="0" fillId="0" borderId="6" xfId="0" applyBorder="1"/>
    <xf numFmtId="0" fontId="7" fillId="0" borderId="6" xfId="0" applyFont="1" applyBorder="1" applyProtection="1">
      <protection hidden="1"/>
    </xf>
    <xf numFmtId="0" fontId="7" fillId="0" borderId="6" xfId="0" applyFont="1" applyFill="1" applyBorder="1" applyProtection="1">
      <protection hidden="1"/>
    </xf>
    <xf numFmtId="166" fontId="48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62" fillId="0" borderId="7" xfId="0" applyFont="1" applyBorder="1" applyAlignment="1"/>
    <xf numFmtId="1" fontId="21" fillId="11" borderId="11" xfId="0" applyNumberFormat="1" applyFont="1" applyFill="1" applyBorder="1" applyAlignment="1" applyProtection="1">
      <alignment horizontal="center"/>
      <protection hidden="1"/>
    </xf>
    <xf numFmtId="2" fontId="7" fillId="0" borderId="2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0" xfId="0" applyFont="1" applyBorder="1" applyProtection="1">
      <protection hidden="1"/>
    </xf>
    <xf numFmtId="1" fontId="1" fillId="0" borderId="10" xfId="0" applyNumberFormat="1" applyFont="1" applyBorder="1" applyProtection="1">
      <protection hidden="1"/>
    </xf>
    <xf numFmtId="2" fontId="1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protection locked="0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5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Border="1" applyProtection="1">
      <protection hidden="1"/>
    </xf>
    <xf numFmtId="14" fontId="1" fillId="0" borderId="18" xfId="0" applyNumberFormat="1" applyFont="1" applyBorder="1" applyProtection="1">
      <protection hidden="1"/>
    </xf>
    <xf numFmtId="0" fontId="0" fillId="12" borderId="24" xfId="0" applyFill="1" applyBorder="1" applyProtection="1">
      <protection locked="0"/>
    </xf>
    <xf numFmtId="0" fontId="0" fillId="0" borderId="0" xfId="0" applyProtection="1">
      <protection locked="0"/>
    </xf>
    <xf numFmtId="0" fontId="0" fillId="12" borderId="24" xfId="0" applyFill="1" applyBorder="1" applyProtection="1">
      <protection hidden="1"/>
    </xf>
    <xf numFmtId="0" fontId="0" fillId="0" borderId="0" xfId="0" applyProtection="1">
      <protection hidden="1"/>
    </xf>
    <xf numFmtId="0" fontId="0" fillId="12" borderId="25" xfId="0" applyFill="1" applyBorder="1" applyProtection="1">
      <protection hidden="1"/>
    </xf>
    <xf numFmtId="0" fontId="0" fillId="12" borderId="26" xfId="0" applyFill="1" applyBorder="1" applyProtection="1">
      <protection hidden="1"/>
    </xf>
    <xf numFmtId="0" fontId="0" fillId="12" borderId="27" xfId="0" applyFill="1" applyBorder="1" applyProtection="1">
      <protection hidden="1"/>
    </xf>
    <xf numFmtId="0" fontId="0" fillId="12" borderId="28" xfId="0" applyFill="1" applyBorder="1" applyProtection="1">
      <protection hidden="1"/>
    </xf>
    <xf numFmtId="0" fontId="0" fillId="12" borderId="0" xfId="0" applyFill="1" applyBorder="1" applyProtection="1">
      <protection hidden="1"/>
    </xf>
    <xf numFmtId="0" fontId="0" fillId="12" borderId="29" xfId="0" applyFill="1" applyBorder="1" applyProtection="1">
      <protection hidden="1"/>
    </xf>
    <xf numFmtId="0" fontId="0" fillId="12" borderId="30" xfId="0" applyFill="1" applyBorder="1" applyProtection="1">
      <protection hidden="1"/>
    </xf>
    <xf numFmtId="0" fontId="0" fillId="12" borderId="31" xfId="0" applyFill="1" applyBorder="1" applyProtection="1">
      <protection hidden="1"/>
    </xf>
    <xf numFmtId="0" fontId="0" fillId="12" borderId="32" xfId="0" applyFill="1" applyBorder="1" applyProtection="1">
      <protection hidden="1"/>
    </xf>
    <xf numFmtId="0" fontId="53" fillId="12" borderId="0" xfId="0" applyFont="1" applyFill="1" applyBorder="1" applyAlignment="1" applyProtection="1">
      <alignment horizontal="left"/>
      <protection hidden="1"/>
    </xf>
    <xf numFmtId="0" fontId="62" fillId="12" borderId="0" xfId="0" applyFont="1" applyFill="1" applyBorder="1" applyAlignment="1" applyProtection="1">
      <alignment horizontal="left"/>
      <protection hidden="1"/>
    </xf>
    <xf numFmtId="0" fontId="62" fillId="12" borderId="0" xfId="0" applyFont="1" applyFill="1" applyBorder="1" applyProtection="1">
      <protection hidden="1"/>
    </xf>
    <xf numFmtId="0" fontId="26" fillId="12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0" fillId="8" borderId="0" xfId="0" quotePrefix="1" applyFill="1" applyBorder="1" applyAlignment="1" applyProtection="1">
      <alignment horizontal="center"/>
      <protection hidden="1"/>
    </xf>
    <xf numFmtId="0" fontId="50" fillId="12" borderId="2" xfId="0" applyFont="1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50" fillId="12" borderId="4" xfId="0" applyFont="1" applyFill="1" applyBorder="1" applyProtection="1">
      <protection hidden="1"/>
    </xf>
    <xf numFmtId="0" fontId="0" fillId="12" borderId="5" xfId="0" applyFill="1" applyBorder="1" applyProtection="1">
      <protection hidden="1"/>
    </xf>
    <xf numFmtId="0" fontId="0" fillId="12" borderId="4" xfId="0" applyFill="1" applyBorder="1" applyProtection="1">
      <protection hidden="1"/>
    </xf>
    <xf numFmtId="0" fontId="62" fillId="12" borderId="9" xfId="0" applyFont="1" applyFill="1" applyBorder="1" applyProtection="1">
      <protection hidden="1"/>
    </xf>
    <xf numFmtId="0" fontId="0" fillId="12" borderId="0" xfId="0" applyFill="1" applyProtection="1">
      <protection hidden="1"/>
    </xf>
    <xf numFmtId="0" fontId="2" fillId="0" borderId="0" xfId="0" applyFont="1" applyBorder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78" fillId="0" borderId="1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vertical="center" wrapText="1"/>
      <protection hidden="1"/>
    </xf>
    <xf numFmtId="0" fontId="0" fillId="0" borderId="17" xfId="0" applyBorder="1" applyProtection="1"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33" xfId="0" applyBorder="1" applyAlignment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53" fillId="0" borderId="21" xfId="0" applyFont="1" applyBorder="1" applyAlignment="1" applyProtection="1">
      <alignment vertical="center"/>
      <protection hidden="1"/>
    </xf>
    <xf numFmtId="0" fontId="53" fillId="0" borderId="23" xfId="0" applyFont="1" applyBorder="1" applyAlignment="1" applyProtection="1">
      <alignment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62" fillId="0" borderId="21" xfId="0" applyFont="1" applyBorder="1" applyAlignment="1" applyProtection="1">
      <alignment horizontal="right" vertical="center"/>
      <protection hidden="1"/>
    </xf>
    <xf numFmtId="0" fontId="62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2" fillId="0" borderId="19" xfId="0" applyFont="1" applyBorder="1" applyAlignment="1" applyProtection="1">
      <alignment horizontal="center" vertical="center"/>
      <protection hidden="1"/>
    </xf>
    <xf numFmtId="0" fontId="69" fillId="0" borderId="19" xfId="0" applyFont="1" applyBorder="1" applyAlignment="1" applyProtection="1">
      <alignment vertical="center"/>
      <protection locked="0" hidden="1"/>
    </xf>
    <xf numFmtId="0" fontId="69" fillId="0" borderId="20" xfId="0" applyFont="1" applyBorder="1" applyAlignment="1" applyProtection="1">
      <alignment vertical="center"/>
      <protection locked="0" hidden="1"/>
    </xf>
    <xf numFmtId="0" fontId="62" fillId="0" borderId="0" xfId="0" applyFont="1" applyBorder="1" applyAlignment="1" applyProtection="1">
      <alignment vertical="center"/>
      <protection hidden="1"/>
    </xf>
    <xf numFmtId="0" fontId="69" fillId="0" borderId="16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79" fillId="0" borderId="19" xfId="0" applyFont="1" applyBorder="1" applyAlignment="1">
      <alignment horizontal="center"/>
    </xf>
    <xf numFmtId="0" fontId="79" fillId="0" borderId="19" xfId="0" applyFont="1" applyBorder="1" applyAlignment="1"/>
    <xf numFmtId="0" fontId="79" fillId="0" borderId="20" xfId="0" applyFont="1" applyBorder="1" applyAlignment="1"/>
    <xf numFmtId="0" fontId="81" fillId="0" borderId="20" xfId="0" applyFont="1" applyBorder="1" applyProtection="1">
      <protection locked="0"/>
    </xf>
    <xf numFmtId="0" fontId="84" fillId="0" borderId="11" xfId="0" applyFont="1" applyBorder="1" applyAlignment="1" applyProtection="1">
      <alignment horizontal="center" vertical="center"/>
      <protection locked="0" hidden="1"/>
    </xf>
    <xf numFmtId="0" fontId="69" fillId="0" borderId="0" xfId="0" applyFont="1" applyBorder="1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hidden="1"/>
    </xf>
    <xf numFmtId="0" fontId="50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locked="0" hidden="1"/>
    </xf>
    <xf numFmtId="0" fontId="50" fillId="0" borderId="17" xfId="0" applyFont="1" applyBorder="1" applyAlignment="1">
      <alignment horizontal="left" vertical="center"/>
    </xf>
    <xf numFmtId="0" fontId="26" fillId="0" borderId="11" xfId="0" applyFont="1" applyBorder="1" applyAlignment="1" applyProtection="1">
      <alignment horizontal="center" vertical="center"/>
      <protection locked="0" hidden="1"/>
    </xf>
    <xf numFmtId="0" fontId="26" fillId="0" borderId="7" xfId="0" applyFont="1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locked="0" hidden="1"/>
    </xf>
    <xf numFmtId="2" fontId="26" fillId="0" borderId="11" xfId="0" applyNumberFormat="1" applyFont="1" applyBorder="1" applyAlignment="1" applyProtection="1">
      <alignment horizontal="center" vertical="center"/>
      <protection locked="0" hidden="1"/>
    </xf>
    <xf numFmtId="0" fontId="26" fillId="0" borderId="6" xfId="0" applyFont="1" applyBorder="1" applyAlignment="1" applyProtection="1">
      <alignment horizontal="center" vertical="center"/>
      <protection locked="0" hidden="1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 hidden="1"/>
    </xf>
    <xf numFmtId="0" fontId="0" fillId="0" borderId="35" xfId="0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 hidden="1"/>
    </xf>
    <xf numFmtId="0" fontId="58" fillId="0" borderId="7" xfId="0" applyFont="1" applyBorder="1" applyAlignment="1" applyProtection="1">
      <alignment horizontal="center" vertical="center"/>
      <protection locked="0" hidden="1"/>
    </xf>
    <xf numFmtId="0" fontId="58" fillId="0" borderId="6" xfId="0" applyFont="1" applyBorder="1" applyAlignment="1" applyProtection="1">
      <alignment horizontal="center" vertical="center"/>
      <protection locked="0" hidden="1"/>
    </xf>
    <xf numFmtId="0" fontId="58" fillId="0" borderId="12" xfId="0" applyFont="1" applyBorder="1" applyAlignment="1" applyProtection="1">
      <alignment horizontal="center" vertical="center"/>
      <protection locked="0" hidden="1"/>
    </xf>
    <xf numFmtId="2" fontId="26" fillId="0" borderId="35" xfId="0" applyNumberFormat="1" applyFont="1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26" fillId="0" borderId="36" xfId="0" applyFont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vertical="center"/>
      <protection hidden="1"/>
    </xf>
    <xf numFmtId="0" fontId="26" fillId="0" borderId="37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39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53" fillId="0" borderId="40" xfId="0" applyFont="1" applyBorder="1" applyAlignment="1" applyProtection="1">
      <alignment vertical="center"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173" fontId="29" fillId="0" borderId="0" xfId="0" applyNumberFormat="1" applyFont="1" applyAlignment="1" applyProtection="1">
      <alignment vertical="center"/>
      <protection hidden="1"/>
    </xf>
    <xf numFmtId="0" fontId="0" fillId="0" borderId="0" xfId="0" applyProtection="1"/>
    <xf numFmtId="0" fontId="0" fillId="0" borderId="23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90" fillId="0" borderId="40" xfId="0" applyFont="1" applyBorder="1" applyProtection="1"/>
    <xf numFmtId="0" fontId="0" fillId="0" borderId="21" xfId="0" applyBorder="1" applyProtection="1"/>
    <xf numFmtId="0" fontId="90" fillId="0" borderId="14" xfId="0" applyFont="1" applyBorder="1" applyAlignment="1" applyProtection="1">
      <alignment vertic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0" fillId="0" borderId="0" xfId="0" applyAlignment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17" xfId="0" applyBorder="1" applyAlignment="1" applyProtection="1"/>
    <xf numFmtId="0" fontId="0" fillId="0" borderId="14" xfId="0" applyBorder="1" applyProtection="1"/>
    <xf numFmtId="0" fontId="0" fillId="0" borderId="15" xfId="0" applyBorder="1" applyProtection="1"/>
    <xf numFmtId="0" fontId="89" fillId="0" borderId="14" xfId="0" applyFont="1" applyBorder="1" applyProtection="1">
      <protection locked="0"/>
    </xf>
    <xf numFmtId="0" fontId="89" fillId="0" borderId="19" xfId="0" applyFont="1" applyBorder="1" applyProtection="1">
      <protection locked="0"/>
    </xf>
    <xf numFmtId="0" fontId="0" fillId="0" borderId="19" xfId="0" applyBorder="1" applyProtection="1"/>
    <xf numFmtId="0" fontId="0" fillId="0" borderId="20" xfId="0" applyBorder="1" applyProtection="1"/>
    <xf numFmtId="0" fontId="0" fillId="0" borderId="0" xfId="0" applyAlignment="1">
      <alignment horizontal="right"/>
    </xf>
    <xf numFmtId="0" fontId="69" fillId="0" borderId="0" xfId="0" applyFont="1" applyProtection="1"/>
    <xf numFmtId="0" fontId="69" fillId="0" borderId="41" xfId="0" applyFont="1" applyBorder="1" applyProtection="1"/>
    <xf numFmtId="0" fontId="69" fillId="0" borderId="6" xfId="0" applyFont="1" applyBorder="1" applyProtection="1"/>
    <xf numFmtId="0" fontId="69" fillId="0" borderId="12" xfId="0" applyFont="1" applyBorder="1" applyProtection="1"/>
    <xf numFmtId="0" fontId="69" fillId="0" borderId="7" xfId="0" applyFont="1" applyBorder="1" applyProtection="1"/>
    <xf numFmtId="0" fontId="69" fillId="0" borderId="42" xfId="0" applyFont="1" applyBorder="1" applyAlignment="1" applyProtection="1">
      <alignment horizontal="left"/>
    </xf>
    <xf numFmtId="0" fontId="69" fillId="0" borderId="0" xfId="0" applyFont="1" applyBorder="1" applyAlignment="1">
      <alignment horizontal="left"/>
    </xf>
    <xf numFmtId="0" fontId="69" fillId="0" borderId="0" xfId="0" applyFont="1"/>
    <xf numFmtId="0" fontId="69" fillId="0" borderId="6" xfId="0" applyFont="1" applyBorder="1" applyAlignment="1" applyProtection="1"/>
    <xf numFmtId="0" fontId="69" fillId="0" borderId="7" xfId="0" applyFont="1" applyBorder="1" applyAlignment="1" applyProtection="1"/>
    <xf numFmtId="0" fontId="69" fillId="0" borderId="42" xfId="0" applyFont="1" applyBorder="1" applyAlignment="1" applyProtection="1"/>
    <xf numFmtId="0" fontId="69" fillId="0" borderId="0" xfId="0" applyFont="1" applyBorder="1" applyAlignment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vertical="justify"/>
    </xf>
    <xf numFmtId="0" fontId="0" fillId="0" borderId="18" xfId="0" applyBorder="1" applyProtection="1"/>
    <xf numFmtId="0" fontId="69" fillId="0" borderId="0" xfId="0" applyFont="1" applyBorder="1" applyProtection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/>
    <xf numFmtId="0" fontId="50" fillId="0" borderId="0" xfId="0" applyFont="1" applyProtection="1"/>
    <xf numFmtId="0" fontId="50" fillId="0" borderId="0" xfId="0" applyFont="1" applyFill="1" applyProtection="1">
      <protection locked="0"/>
    </xf>
    <xf numFmtId="0" fontId="50" fillId="0" borderId="0" xfId="0" applyFont="1" applyFill="1" applyProtection="1"/>
    <xf numFmtId="0" fontId="50" fillId="0" borderId="0" xfId="0" applyFont="1" applyFill="1"/>
    <xf numFmtId="0" fontId="50" fillId="0" borderId="0" xfId="0" applyFont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/>
    <xf numFmtId="0" fontId="60" fillId="0" borderId="0" xfId="0" applyFont="1"/>
    <xf numFmtId="0" fontId="50" fillId="0" borderId="0" xfId="0" applyFont="1" applyFill="1" applyAlignment="1" applyProtection="1">
      <alignment horizontal="left"/>
      <protection locked="0"/>
    </xf>
    <xf numFmtId="0" fontId="69" fillId="0" borderId="41" xfId="0" applyFont="1" applyBorder="1"/>
    <xf numFmtId="0" fontId="69" fillId="0" borderId="6" xfId="0" applyFont="1" applyBorder="1"/>
    <xf numFmtId="0" fontId="69" fillId="0" borderId="12" xfId="0" applyFont="1" applyBorder="1"/>
    <xf numFmtId="0" fontId="69" fillId="0" borderId="7" xfId="0" applyFont="1" applyBorder="1"/>
    <xf numFmtId="0" fontId="69" fillId="0" borderId="42" xfId="0" applyFont="1" applyBorder="1" applyAlignment="1">
      <alignment horizontal="left"/>
    </xf>
    <xf numFmtId="0" fontId="69" fillId="0" borderId="22" xfId="0" applyFont="1" applyBorder="1" applyAlignment="1"/>
    <xf numFmtId="0" fontId="69" fillId="0" borderId="43" xfId="0" applyFont="1" applyBorder="1"/>
    <xf numFmtId="0" fontId="69" fillId="0" borderId="43" xfId="0" applyFont="1" applyBorder="1" applyAlignment="1"/>
    <xf numFmtId="0" fontId="69" fillId="0" borderId="44" xfId="0" applyFont="1" applyBorder="1" applyAlignment="1"/>
    <xf numFmtId="0" fontId="69" fillId="0" borderId="22" xfId="0" applyFont="1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99" fillId="0" borderId="14" xfId="0" applyFont="1" applyBorder="1"/>
    <xf numFmtId="0" fontId="0" fillId="0" borderId="15" xfId="0" applyBorder="1"/>
    <xf numFmtId="0" fontId="0" fillId="0" borderId="0" xfId="0" applyBorder="1" applyAlignment="1" applyProtection="1">
      <alignment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16" xfId="0" applyBorder="1" applyAlignment="1"/>
    <xf numFmtId="0" fontId="53" fillId="0" borderId="0" xfId="0" applyFont="1" applyBorder="1" applyAlignment="1"/>
    <xf numFmtId="0" fontId="0" fillId="0" borderId="17" xfId="0" applyBorder="1" applyAlignment="1"/>
    <xf numFmtId="2" fontId="0" fillId="0" borderId="0" xfId="0" applyNumberFormat="1" applyBorder="1" applyAlignment="1" applyProtection="1">
      <protection locked="0"/>
    </xf>
    <xf numFmtId="0" fontId="0" fillId="0" borderId="0" xfId="0" applyFill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left"/>
      <protection hidden="1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58" fillId="0" borderId="16" xfId="0" applyFont="1" applyBorder="1" applyProtection="1"/>
    <xf numFmtId="0" fontId="62" fillId="0" borderId="13" xfId="0" applyFont="1" applyBorder="1"/>
    <xf numFmtId="0" fontId="0" fillId="0" borderId="19" xfId="0" applyBorder="1" applyAlignment="1">
      <alignment horizontal="center"/>
    </xf>
    <xf numFmtId="0" fontId="1" fillId="14" borderId="0" xfId="0" applyFont="1" applyFill="1" applyProtection="1">
      <protection hidden="1"/>
    </xf>
    <xf numFmtId="0" fontId="5" fillId="14" borderId="0" xfId="0" applyFont="1" applyFill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vertical="center"/>
      <protection hidden="1"/>
    </xf>
    <xf numFmtId="1" fontId="34" fillId="14" borderId="0" xfId="0" applyNumberFormat="1" applyFont="1" applyFill="1" applyBorder="1" applyAlignment="1" applyProtection="1">
      <alignment horizontal="center" vertical="center"/>
      <protection hidden="1"/>
    </xf>
    <xf numFmtId="2" fontId="1" fillId="14" borderId="0" xfId="0" applyNumberFormat="1" applyFont="1" applyFill="1" applyProtection="1">
      <protection hidden="1"/>
    </xf>
    <xf numFmtId="2" fontId="1" fillId="14" borderId="0" xfId="0" applyNumberFormat="1" applyFont="1" applyFill="1" applyAlignment="1" applyProtection="1">
      <alignment horizontal="right"/>
      <protection hidden="1"/>
    </xf>
    <xf numFmtId="0" fontId="30" fillId="14" borderId="0" xfId="0" applyFont="1" applyFill="1" applyAlignment="1" applyProtection="1">
      <alignment horizontal="center" vertical="center"/>
      <protection hidden="1"/>
    </xf>
    <xf numFmtId="0" fontId="0" fillId="0" borderId="13" xfId="0" applyBorder="1" applyAlignment="1"/>
    <xf numFmtId="0" fontId="1" fillId="0" borderId="16" xfId="0" applyFont="1" applyFill="1" applyBorder="1" applyProtection="1">
      <protection hidden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Protection="1">
      <protection hidden="1"/>
    </xf>
    <xf numFmtId="0" fontId="1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36" fillId="0" borderId="14" xfId="0" applyFont="1" applyBorder="1" applyAlignment="1"/>
    <xf numFmtId="0" fontId="1" fillId="0" borderId="13" xfId="0" applyFont="1" applyBorder="1" applyAlignment="1">
      <alignment horizontal="right"/>
    </xf>
    <xf numFmtId="0" fontId="36" fillId="0" borderId="14" xfId="0" applyFont="1" applyBorder="1"/>
    <xf numFmtId="0" fontId="1" fillId="0" borderId="13" xfId="0" applyFont="1" applyFill="1" applyBorder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Alignment="1" applyProtection="1">
      <alignment horizontal="left"/>
      <protection locked="0"/>
    </xf>
    <xf numFmtId="0" fontId="51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justify"/>
      <protection locked="0"/>
    </xf>
    <xf numFmtId="0" fontId="1" fillId="15" borderId="0" xfId="0" applyFont="1" applyFill="1" applyProtection="1">
      <protection hidden="1"/>
    </xf>
    <xf numFmtId="0" fontId="1" fillId="15" borderId="0" xfId="0" applyFont="1" applyFill="1" applyAlignment="1" applyProtection="1">
      <alignment horizontal="center"/>
      <protection hidden="1"/>
    </xf>
    <xf numFmtId="0" fontId="1" fillId="15" borderId="0" xfId="0" applyFont="1" applyFill="1" applyAlignment="1" applyProtection="1">
      <protection hidden="1"/>
    </xf>
    <xf numFmtId="2" fontId="5" fillId="16" borderId="45" xfId="0" applyNumberFormat="1" applyFont="1" applyFill="1" applyBorder="1" applyAlignment="1" applyProtection="1">
      <alignment horizontal="center" vertical="center"/>
      <protection locked="0"/>
    </xf>
    <xf numFmtId="1" fontId="5" fillId="16" borderId="35" xfId="0" applyNumberFormat="1" applyFont="1" applyFill="1" applyBorder="1" applyAlignment="1" applyProtection="1">
      <alignment horizontal="center" vertical="center"/>
      <protection locked="0"/>
    </xf>
    <xf numFmtId="2" fontId="5" fillId="16" borderId="35" xfId="0" applyNumberFormat="1" applyFont="1" applyFill="1" applyBorder="1" applyAlignment="1" applyProtection="1">
      <alignment horizontal="center" vertical="center"/>
      <protection locked="0"/>
    </xf>
    <xf numFmtId="175" fontId="5" fillId="16" borderId="35" xfId="0" applyNumberFormat="1" applyFont="1" applyFill="1" applyBorder="1" applyAlignment="1" applyProtection="1">
      <alignment horizontal="center" vertical="center"/>
      <protection locked="0"/>
    </xf>
    <xf numFmtId="0" fontId="44" fillId="16" borderId="46" xfId="0" applyFont="1" applyFill="1" applyBorder="1" applyAlignment="1" applyProtection="1">
      <alignment horizontal="center" vertical="center"/>
      <protection locked="0"/>
    </xf>
    <xf numFmtId="175" fontId="5" fillId="17" borderId="35" xfId="0" applyNumberFormat="1" applyFont="1" applyFill="1" applyBorder="1" applyAlignment="1" applyProtection="1">
      <alignment horizontal="center" vertical="center"/>
      <protection locked="0"/>
    </xf>
    <xf numFmtId="2" fontId="5" fillId="17" borderId="47" xfId="0" applyNumberFormat="1" applyFont="1" applyFill="1" applyBorder="1" applyAlignment="1" applyProtection="1">
      <alignment horizontal="center" vertical="center"/>
      <protection hidden="1"/>
    </xf>
    <xf numFmtId="0" fontId="30" fillId="15" borderId="0" xfId="0" applyFont="1" applyFill="1" applyBorder="1" applyAlignment="1" applyProtection="1">
      <alignment vertical="center"/>
      <protection hidden="1"/>
    </xf>
    <xf numFmtId="0" fontId="1" fillId="15" borderId="21" xfId="0" applyFont="1" applyFill="1" applyBorder="1" applyAlignment="1" applyProtection="1">
      <protection hidden="1"/>
    </xf>
    <xf numFmtId="0" fontId="1" fillId="15" borderId="14" xfId="0" applyFont="1" applyFill="1" applyBorder="1" applyAlignment="1" applyProtection="1">
      <protection hidden="1"/>
    </xf>
    <xf numFmtId="0" fontId="20" fillId="17" borderId="40" xfId="0" applyFont="1" applyFill="1" applyBorder="1" applyAlignment="1" applyProtection="1">
      <alignment vertical="center"/>
      <protection hidden="1"/>
    </xf>
    <xf numFmtId="0" fontId="20" fillId="17" borderId="21" xfId="0" applyFont="1" applyFill="1" applyBorder="1" applyAlignment="1" applyProtection="1">
      <alignment vertical="center"/>
      <protection hidden="1"/>
    </xf>
    <xf numFmtId="0" fontId="20" fillId="17" borderId="23" xfId="0" applyFont="1" applyFill="1" applyBorder="1" applyAlignment="1" applyProtection="1">
      <alignment vertical="center"/>
      <protection hidden="1"/>
    </xf>
    <xf numFmtId="0" fontId="29" fillId="15" borderId="0" xfId="0" applyFont="1" applyFill="1" applyBorder="1" applyAlignment="1" applyProtection="1">
      <alignment horizontal="center" vertical="center"/>
      <protection hidden="1"/>
    </xf>
    <xf numFmtId="0" fontId="5" fillId="16" borderId="48" xfId="0" applyFont="1" applyFill="1" applyBorder="1" applyAlignment="1" applyProtection="1">
      <alignment horizontal="center" vertical="center"/>
      <protection locked="0"/>
    </xf>
    <xf numFmtId="175" fontId="5" fillId="18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 hidden="1"/>
    </xf>
    <xf numFmtId="0" fontId="2" fillId="0" borderId="13" xfId="0" applyFont="1" applyBorder="1" applyProtection="1">
      <protection locked="0" hidden="1"/>
    </xf>
    <xf numFmtId="0" fontId="2" fillId="0" borderId="14" xfId="0" applyFont="1" applyBorder="1" applyProtection="1">
      <protection locked="0" hidden="1"/>
    </xf>
    <xf numFmtId="0" fontId="0" fillId="0" borderId="14" xfId="0" applyBorder="1" applyProtection="1">
      <protection locked="0" hidden="1"/>
    </xf>
    <xf numFmtId="0" fontId="2" fillId="0" borderId="14" xfId="0" applyFont="1" applyFill="1" applyBorder="1" applyProtection="1">
      <protection locked="0" hidden="1"/>
    </xf>
    <xf numFmtId="0" fontId="2" fillId="0" borderId="16" xfId="0" applyFont="1" applyBorder="1" applyProtection="1">
      <protection locked="0" hidden="1"/>
    </xf>
    <xf numFmtId="0" fontId="2" fillId="0" borderId="17" xfId="0" applyFont="1" applyBorder="1" applyAlignment="1" applyProtection="1">
      <protection hidden="1"/>
    </xf>
    <xf numFmtId="0" fontId="2" fillId="0" borderId="18" xfId="0" applyFont="1" applyBorder="1" applyProtection="1">
      <protection locked="0" hidden="1"/>
    </xf>
    <xf numFmtId="0" fontId="2" fillId="0" borderId="19" xfId="0" applyFont="1" applyBorder="1" applyProtection="1">
      <protection locked="0" hidden="1"/>
    </xf>
    <xf numFmtId="0" fontId="2" fillId="0" borderId="19" xfId="0" applyFont="1" applyFill="1" applyBorder="1" applyProtection="1">
      <protection locked="0" hidden="1"/>
    </xf>
    <xf numFmtId="0" fontId="71" fillId="0" borderId="6" xfId="0" applyFont="1" applyFill="1" applyBorder="1" applyAlignment="1" applyProtection="1">
      <protection hidden="1"/>
    </xf>
    <xf numFmtId="0" fontId="5" fillId="15" borderId="0" xfId="0" applyFont="1" applyFill="1" applyBorder="1" applyAlignment="1" applyProtection="1">
      <alignment horizontal="center" vertical="justify"/>
      <protection locked="0"/>
    </xf>
    <xf numFmtId="0" fontId="1" fillId="15" borderId="0" xfId="0" applyFont="1" applyFill="1" applyAlignment="1" applyProtection="1">
      <alignment horizontal="center"/>
      <protection hidden="1"/>
    </xf>
    <xf numFmtId="2" fontId="1" fillId="0" borderId="39" xfId="0" applyNumberFormat="1" applyFont="1" applyBorder="1" applyAlignment="1" applyProtection="1">
      <alignment horizontal="center" vertical="center"/>
      <protection hidden="1"/>
    </xf>
    <xf numFmtId="2" fontId="1" fillId="0" borderId="35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5" fillId="15" borderId="0" xfId="0" applyFont="1" applyFill="1" applyBorder="1" applyAlignment="1" applyProtection="1">
      <alignment vertical="justify"/>
      <protection locked="0"/>
    </xf>
    <xf numFmtId="2" fontId="5" fillId="17" borderId="35" xfId="0" applyNumberFormat="1" applyFont="1" applyFill="1" applyBorder="1" applyAlignment="1" applyProtection="1">
      <alignment horizontal="center" vertical="center"/>
    </xf>
    <xf numFmtId="2" fontId="5" fillId="17" borderId="47" xfId="0" applyNumberFormat="1" applyFont="1" applyFill="1" applyBorder="1" applyAlignment="1" applyProtection="1">
      <alignment horizontal="center" vertical="center"/>
    </xf>
    <xf numFmtId="0" fontId="1" fillId="15" borderId="0" xfId="0" applyFont="1" applyFill="1" applyBorder="1" applyAlignment="1" applyProtection="1">
      <alignment horizontal="center"/>
      <protection hidden="1"/>
    </xf>
    <xf numFmtId="0" fontId="1" fillId="15" borderId="0" xfId="0" applyFont="1" applyFill="1" applyBorder="1" applyAlignment="1" applyProtection="1">
      <alignment horizontal="center"/>
      <protection locked="0"/>
    </xf>
    <xf numFmtId="0" fontId="0" fillId="19" borderId="0" xfId="0" applyFill="1" applyBorder="1" applyAlignment="1"/>
    <xf numFmtId="0" fontId="7" fillId="19" borderId="0" xfId="0" applyFont="1" applyFill="1" applyBorder="1" applyAlignment="1" applyProtection="1">
      <protection hidden="1"/>
    </xf>
    <xf numFmtId="0" fontId="0" fillId="19" borderId="0" xfId="0" applyFill="1" applyAlignment="1"/>
    <xf numFmtId="0" fontId="0" fillId="19" borderId="21" xfId="0" applyFill="1" applyBorder="1" applyAlignment="1"/>
    <xf numFmtId="0" fontId="0" fillId="19" borderId="14" xfId="0" applyFill="1" applyBorder="1" applyAlignment="1"/>
    <xf numFmtId="0" fontId="2" fillId="19" borderId="0" xfId="0" applyFont="1" applyFill="1" applyAlignment="1" applyProtection="1">
      <protection hidden="1"/>
    </xf>
    <xf numFmtId="0" fontId="2" fillId="19" borderId="17" xfId="0" applyFont="1" applyFill="1" applyBorder="1" applyAlignment="1" applyProtection="1">
      <protection hidden="1"/>
    </xf>
    <xf numFmtId="0" fontId="2" fillId="19" borderId="3" xfId="0" applyFont="1" applyFill="1" applyBorder="1" applyAlignment="1" applyProtection="1">
      <protection hidden="1"/>
    </xf>
    <xf numFmtId="0" fontId="7" fillId="19" borderId="0" xfId="0" applyFont="1" applyFill="1" applyAlignment="1" applyProtection="1">
      <protection hidden="1"/>
    </xf>
    <xf numFmtId="0" fontId="2" fillId="19" borderId="19" xfId="0" applyFont="1" applyFill="1" applyBorder="1" applyAlignment="1" applyProtection="1">
      <protection hidden="1"/>
    </xf>
    <xf numFmtId="170" fontId="5" fillId="19" borderId="0" xfId="0" applyNumberFormat="1" applyFont="1" applyFill="1" applyBorder="1" applyAlignment="1" applyProtection="1">
      <protection hidden="1"/>
    </xf>
    <xf numFmtId="0" fontId="72" fillId="19" borderId="0" xfId="0" applyFont="1" applyFill="1" applyBorder="1" applyAlignment="1" applyProtection="1">
      <alignment vertical="top"/>
    </xf>
    <xf numFmtId="0" fontId="6" fillId="19" borderId="0" xfId="0" applyFont="1" applyFill="1" applyBorder="1" applyAlignment="1" applyProtection="1">
      <alignment vertical="center"/>
      <protection hidden="1"/>
    </xf>
    <xf numFmtId="0" fontId="0" fillId="19" borderId="0" xfId="0" applyFill="1"/>
    <xf numFmtId="0" fontId="2" fillId="19" borderId="0" xfId="0" applyFont="1" applyFill="1" applyBorder="1" applyAlignment="1" applyProtection="1">
      <alignment vertical="justify" wrapText="1"/>
      <protection hidden="1"/>
    </xf>
    <xf numFmtId="0" fontId="5" fillId="0" borderId="40" xfId="0" applyFont="1" applyBorder="1" applyAlignment="1" applyProtection="1">
      <alignment vertical="center"/>
      <protection locked="0" hidden="1"/>
    </xf>
    <xf numFmtId="0" fontId="0" fillId="19" borderId="0" xfId="0" applyFill="1" applyBorder="1"/>
    <xf numFmtId="0" fontId="2" fillId="19" borderId="0" xfId="0" applyFont="1" applyFill="1" applyProtection="1">
      <protection hidden="1"/>
    </xf>
    <xf numFmtId="0" fontId="30" fillId="0" borderId="7" xfId="0" applyFont="1" applyBorder="1" applyProtection="1">
      <protection hidden="1"/>
    </xf>
    <xf numFmtId="0" fontId="30" fillId="0" borderId="7" xfId="0" applyFont="1" applyFill="1" applyBorder="1" applyAlignment="1" applyProtection="1">
      <protection hidden="1"/>
    </xf>
    <xf numFmtId="0" fontId="0" fillId="0" borderId="12" xfId="0" applyBorder="1"/>
    <xf numFmtId="0" fontId="2" fillId="0" borderId="0" xfId="0" applyFont="1" applyFill="1" applyBorder="1" applyAlignment="1" applyProtection="1">
      <alignment vertical="center"/>
      <protection hidden="1"/>
    </xf>
    <xf numFmtId="0" fontId="0" fillId="20" borderId="0" xfId="0" applyFill="1" applyBorder="1" applyAlignment="1"/>
    <xf numFmtId="0" fontId="0" fillId="20" borderId="0" xfId="0" applyFill="1" applyBorder="1"/>
    <xf numFmtId="0" fontId="71" fillId="20" borderId="0" xfId="0" applyFont="1" applyFill="1" applyBorder="1" applyAlignment="1" applyProtection="1">
      <protection hidden="1"/>
    </xf>
    <xf numFmtId="0" fontId="0" fillId="20" borderId="0" xfId="0" applyFill="1" applyAlignment="1"/>
    <xf numFmtId="0" fontId="0" fillId="20" borderId="0" xfId="0" applyFill="1"/>
    <xf numFmtId="0" fontId="7" fillId="20" borderId="0" xfId="0" applyFont="1" applyFill="1" applyBorder="1" applyAlignment="1" applyProtection="1">
      <protection hidden="1"/>
    </xf>
    <xf numFmtId="0" fontId="0" fillId="0" borderId="23" xfId="0" applyBorder="1"/>
    <xf numFmtId="0" fontId="71" fillId="0" borderId="23" xfId="0" applyFont="1" applyFill="1" applyBorder="1" applyAlignment="1" applyProtection="1">
      <protection hidden="1"/>
    </xf>
    <xf numFmtId="0" fontId="48" fillId="15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16" borderId="48" xfId="0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6" fillId="0" borderId="50" xfId="0" applyFont="1" applyBorder="1"/>
    <xf numFmtId="0" fontId="36" fillId="0" borderId="51" xfId="0" applyFont="1" applyBorder="1"/>
    <xf numFmtId="0" fontId="36" fillId="0" borderId="51" xfId="0" applyFont="1" applyBorder="1" applyAlignment="1">
      <alignment vertical="distributed"/>
    </xf>
    <xf numFmtId="0" fontId="0" fillId="0" borderId="50" xfId="0" applyBorder="1"/>
    <xf numFmtId="0" fontId="0" fillId="0" borderId="51" xfId="0" applyBorder="1"/>
    <xf numFmtId="171" fontId="0" fillId="0" borderId="49" xfId="0" applyNumberFormat="1" applyBorder="1"/>
    <xf numFmtId="171" fontId="0" fillId="0" borderId="34" xfId="0" applyNumberFormat="1" applyBorder="1"/>
    <xf numFmtId="0" fontId="36" fillId="0" borderId="52" xfId="0" applyFont="1" applyBorder="1"/>
    <xf numFmtId="0" fontId="113" fillId="0" borderId="53" xfId="0" applyFont="1" applyBorder="1" applyAlignment="1">
      <alignment horizontal="center" vertical="center"/>
    </xf>
    <xf numFmtId="0" fontId="36" fillId="0" borderId="52" xfId="0" applyFont="1" applyBorder="1" applyAlignment="1">
      <alignment vertical="distributed"/>
    </xf>
    <xf numFmtId="0" fontId="36" fillId="0" borderId="46" xfId="0" applyFont="1" applyBorder="1" applyAlignment="1">
      <alignment horizontal="center" vertical="center"/>
    </xf>
    <xf numFmtId="178" fontId="0" fillId="0" borderId="42" xfId="0" applyNumberFormat="1" applyBorder="1"/>
    <xf numFmtId="178" fontId="0" fillId="0" borderId="7" xfId="0" applyNumberFormat="1" applyBorder="1" applyProtection="1">
      <protection locked="0"/>
    </xf>
    <xf numFmtId="171" fontId="0" fillId="16" borderId="49" xfId="0" applyNumberFormat="1" applyFill="1" applyBorder="1" applyProtection="1">
      <protection locked="0"/>
    </xf>
    <xf numFmtId="178" fontId="0" fillId="0" borderId="2" xfId="0" applyNumberFormat="1" applyBorder="1" applyProtection="1">
      <protection locked="0"/>
    </xf>
    <xf numFmtId="178" fontId="114" fillId="0" borderId="20" xfId="0" applyNumberFormat="1" applyFont="1" applyBorder="1" applyAlignment="1">
      <alignment vertical="center"/>
    </xf>
    <xf numFmtId="0" fontId="36" fillId="0" borderId="53" xfId="0" applyFont="1" applyFill="1" applyBorder="1" applyAlignment="1">
      <alignment vertical="distributed"/>
    </xf>
    <xf numFmtId="0" fontId="14" fillId="15" borderId="0" xfId="0" applyFont="1" applyFill="1" applyBorder="1" applyAlignment="1" applyProtection="1">
      <alignment horizontal="center" vertical="center"/>
      <protection hidden="1"/>
    </xf>
    <xf numFmtId="175" fontId="5" fillId="15" borderId="0" xfId="0" applyNumberFormat="1" applyFont="1" applyFill="1" applyBorder="1" applyAlignment="1" applyProtection="1">
      <alignment horizontal="center" vertical="center"/>
      <protection hidden="1"/>
    </xf>
    <xf numFmtId="0" fontId="29" fillId="15" borderId="0" xfId="0" applyFont="1" applyFill="1" applyBorder="1" applyAlignment="1" applyProtection="1">
      <alignment vertical="center"/>
      <protection hidden="1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Protection="1">
      <protection hidden="1"/>
    </xf>
    <xf numFmtId="2" fontId="1" fillId="0" borderId="2" xfId="0" applyNumberFormat="1" applyFont="1" applyBorder="1" applyProtection="1">
      <protection hidden="1"/>
    </xf>
    <xf numFmtId="1" fontId="1" fillId="0" borderId="8" xfId="0" applyNumberFormat="1" applyFont="1" applyBorder="1" applyProtection="1">
      <protection hidden="1"/>
    </xf>
    <xf numFmtId="2" fontId="1" fillId="0" borderId="1" xfId="0" applyNumberFormat="1" applyFont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0" xfId="0" applyFont="1" applyFill="1" applyBorder="1" applyProtection="1">
      <protection hidden="1"/>
    </xf>
    <xf numFmtId="0" fontId="1" fillId="0" borderId="5" xfId="0" applyFont="1" applyBorder="1" applyProtection="1">
      <protection hidden="1"/>
    </xf>
    <xf numFmtId="0" fontId="123" fillId="0" borderId="0" xfId="0" applyFont="1" applyFill="1" applyProtection="1">
      <protection hidden="1"/>
    </xf>
    <xf numFmtId="0" fontId="62" fillId="21" borderId="0" xfId="0" applyFont="1" applyFill="1" applyProtection="1">
      <protection hidden="1"/>
    </xf>
    <xf numFmtId="0" fontId="62" fillId="21" borderId="0" xfId="0" applyFont="1" applyFill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1" fontId="14" fillId="22" borderId="53" xfId="0" applyNumberFormat="1" applyFont="1" applyFill="1" applyBorder="1" applyAlignment="1" applyProtection="1">
      <alignment horizontal="center" vertical="center"/>
      <protection hidden="1"/>
    </xf>
    <xf numFmtId="1" fontId="14" fillId="22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14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23" borderId="2" xfId="0" applyFont="1" applyFill="1" applyBorder="1" applyAlignment="1" applyProtection="1">
      <alignment horizontal="center" vertical="center"/>
      <protection hidden="1"/>
    </xf>
    <xf numFmtId="0" fontId="1" fillId="23" borderId="1" xfId="0" applyFont="1" applyFill="1" applyBorder="1" applyAlignment="1" applyProtection="1">
      <alignment horizontal="center" vertical="center"/>
      <protection hidden="1"/>
    </xf>
    <xf numFmtId="0" fontId="1" fillId="23" borderId="4" xfId="0" applyFont="1" applyFill="1" applyBorder="1" applyProtection="1">
      <protection hidden="1"/>
    </xf>
    <xf numFmtId="0" fontId="5" fillId="22" borderId="54" xfId="0" applyFont="1" applyFill="1" applyBorder="1" applyAlignment="1" applyProtection="1">
      <alignment horizontal="center" vertical="center"/>
      <protection hidden="1"/>
    </xf>
    <xf numFmtId="0" fontId="5" fillId="22" borderId="39" xfId="0" applyFont="1" applyFill="1" applyBorder="1" applyAlignment="1" applyProtection="1">
      <alignment horizontal="center" vertical="center"/>
      <protection hidden="1"/>
    </xf>
    <xf numFmtId="0" fontId="5" fillId="22" borderId="50" xfId="0" applyFont="1" applyFill="1" applyBorder="1" applyAlignment="1" applyProtection="1">
      <alignment horizontal="center" vertical="center"/>
      <protection hidden="1"/>
    </xf>
    <xf numFmtId="0" fontId="5" fillId="24" borderId="54" xfId="0" applyFont="1" applyFill="1" applyBorder="1" applyAlignment="1" applyProtection="1">
      <alignment horizontal="center" vertical="center"/>
      <protection hidden="1"/>
    </xf>
    <xf numFmtId="0" fontId="5" fillId="24" borderId="55" xfId="0" applyFont="1" applyFill="1" applyBorder="1" applyAlignment="1" applyProtection="1">
      <alignment horizontal="center" vertical="center"/>
      <protection hidden="1"/>
    </xf>
    <xf numFmtId="0" fontId="5" fillId="24" borderId="39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1" fontId="1" fillId="24" borderId="11" xfId="0" applyNumberFormat="1" applyFont="1" applyFill="1" applyBorder="1" applyAlignment="1" applyProtection="1">
      <alignment horizontal="center" vertical="center"/>
      <protection hidden="1"/>
    </xf>
    <xf numFmtId="2" fontId="1" fillId="24" borderId="7" xfId="0" applyNumberFormat="1" applyFont="1" applyFill="1" applyBorder="1" applyAlignment="1" applyProtection="1">
      <alignment horizontal="center" vertical="center"/>
      <protection hidden="1"/>
    </xf>
    <xf numFmtId="2" fontId="1" fillId="24" borderId="35" xfId="0" applyNumberFormat="1" applyFont="1" applyFill="1" applyBorder="1" applyAlignment="1" applyProtection="1">
      <alignment horizontal="center" vertical="center"/>
      <protection hidden="1"/>
    </xf>
    <xf numFmtId="0" fontId="5" fillId="25" borderId="50" xfId="0" applyFont="1" applyFill="1" applyBorder="1" applyAlignment="1" applyProtection="1">
      <alignment horizontal="center" vertical="center"/>
      <protection hidden="1"/>
    </xf>
    <xf numFmtId="0" fontId="5" fillId="25" borderId="54" xfId="0" applyFont="1" applyFill="1" applyBorder="1" applyAlignment="1" applyProtection="1">
      <alignment horizontal="center" vertical="center"/>
      <protection hidden="1"/>
    </xf>
    <xf numFmtId="0" fontId="5" fillId="25" borderId="55" xfId="0" applyFont="1" applyFill="1" applyBorder="1" applyAlignment="1" applyProtection="1">
      <alignment horizontal="center" vertical="center"/>
      <protection hidden="1"/>
    </xf>
    <xf numFmtId="0" fontId="5" fillId="25" borderId="39" xfId="0" applyFont="1" applyFill="1" applyBorder="1" applyAlignment="1" applyProtection="1">
      <alignment horizontal="center" vertical="center"/>
      <protection hidden="1"/>
    </xf>
    <xf numFmtId="1" fontId="1" fillId="25" borderId="53" xfId="0" applyNumberFormat="1" applyFont="1" applyFill="1" applyBorder="1" applyAlignment="1" applyProtection="1">
      <alignment horizontal="center" vertical="center"/>
      <protection hidden="1"/>
    </xf>
    <xf numFmtId="2" fontId="1" fillId="25" borderId="19" xfId="0" applyNumberFormat="1" applyFont="1" applyFill="1" applyBorder="1" applyAlignment="1" applyProtection="1">
      <alignment horizontal="center" vertical="center"/>
      <protection hidden="1"/>
    </xf>
    <xf numFmtId="1" fontId="1" fillId="25" borderId="48" xfId="0" applyNumberFormat="1" applyFont="1" applyFill="1" applyBorder="1" applyAlignment="1" applyProtection="1">
      <alignment horizontal="center" vertical="center"/>
      <protection hidden="1"/>
    </xf>
    <xf numFmtId="1" fontId="1" fillId="25" borderId="43" xfId="0" applyNumberFormat="1" applyFont="1" applyFill="1" applyBorder="1" applyAlignment="1" applyProtection="1">
      <alignment horizontal="center" vertical="center"/>
      <protection hidden="1"/>
    </xf>
    <xf numFmtId="1" fontId="1" fillId="23" borderId="51" xfId="0" applyNumberFormat="1" applyFont="1" applyFill="1" applyBorder="1" applyAlignment="1" applyProtection="1">
      <alignment horizontal="center" vertical="center"/>
      <protection hidden="1"/>
    </xf>
    <xf numFmtId="2" fontId="1" fillId="23" borderId="11" xfId="0" applyNumberFormat="1" applyFont="1" applyFill="1" applyBorder="1" applyAlignment="1" applyProtection="1">
      <alignment horizontal="center" vertical="center"/>
      <protection hidden="1"/>
    </xf>
    <xf numFmtId="1" fontId="1" fillId="23" borderId="11" xfId="0" applyNumberFormat="1" applyFont="1" applyFill="1" applyBorder="1" applyAlignment="1" applyProtection="1">
      <alignment horizontal="center" vertical="center"/>
      <protection hidden="1"/>
    </xf>
    <xf numFmtId="0" fontId="1" fillId="23" borderId="11" xfId="0" applyFont="1" applyFill="1" applyBorder="1" applyProtection="1">
      <protection hidden="1"/>
    </xf>
    <xf numFmtId="1" fontId="1" fillId="23" borderId="7" xfId="0" applyNumberFormat="1" applyFont="1" applyFill="1" applyBorder="1" applyAlignment="1" applyProtection="1">
      <alignment horizontal="center" vertical="center"/>
      <protection hidden="1"/>
    </xf>
    <xf numFmtId="2" fontId="1" fillId="23" borderId="7" xfId="0" applyNumberFormat="1" applyFont="1" applyFill="1" applyBorder="1" applyAlignment="1" applyProtection="1">
      <alignment horizontal="center" vertical="center"/>
      <protection hidden="1"/>
    </xf>
    <xf numFmtId="0" fontId="5" fillId="24" borderId="56" xfId="0" applyFont="1" applyFill="1" applyBorder="1" applyAlignment="1" applyProtection="1">
      <alignment horizontal="center" vertical="center"/>
      <protection hidden="1"/>
    </xf>
    <xf numFmtId="1" fontId="1" fillId="24" borderId="12" xfId="0" applyNumberFormat="1" applyFont="1" applyFill="1" applyBorder="1" applyAlignment="1" applyProtection="1">
      <alignment horizontal="center" vertical="center"/>
      <protection hidden="1"/>
    </xf>
    <xf numFmtId="1" fontId="1" fillId="24" borderId="57" xfId="0" applyNumberFormat="1" applyFont="1" applyFill="1" applyBorder="1" applyAlignment="1" applyProtection="1">
      <alignment horizontal="center" vertical="center"/>
      <protection hidden="1"/>
    </xf>
    <xf numFmtId="1" fontId="1" fillId="24" borderId="48" xfId="0" applyNumberFormat="1" applyFont="1" applyFill="1" applyBorder="1" applyAlignment="1" applyProtection="1">
      <alignment horizontal="center" vertical="center"/>
      <protection hidden="1"/>
    </xf>
    <xf numFmtId="2" fontId="1" fillId="24" borderId="43" xfId="0" applyNumberFormat="1" applyFont="1" applyFill="1" applyBorder="1" applyAlignment="1" applyProtection="1">
      <alignment horizontal="center" vertical="center"/>
      <protection hidden="1"/>
    </xf>
    <xf numFmtId="2" fontId="1" fillId="24" borderId="49" xfId="0" applyNumberFormat="1" applyFont="1" applyFill="1" applyBorder="1" applyAlignment="1" applyProtection="1">
      <alignment horizontal="center" vertical="center"/>
      <protection hidden="1"/>
    </xf>
    <xf numFmtId="0" fontId="1" fillId="23" borderId="58" xfId="0" applyFont="1" applyFill="1" applyBorder="1" applyAlignment="1" applyProtection="1">
      <alignment horizontal="center" vertical="center"/>
      <protection hidden="1"/>
    </xf>
    <xf numFmtId="0" fontId="1" fillId="23" borderId="59" xfId="0" applyFont="1" applyFill="1" applyBorder="1" applyAlignment="1" applyProtection="1">
      <alignment horizontal="center" vertical="center"/>
      <protection hidden="1"/>
    </xf>
    <xf numFmtId="0" fontId="1" fillId="24" borderId="50" xfId="0" applyFont="1" applyFill="1" applyBorder="1" applyAlignment="1" applyProtection="1">
      <alignment horizontal="center" vertical="center"/>
      <protection hidden="1"/>
    </xf>
    <xf numFmtId="0" fontId="1" fillId="24" borderId="51" xfId="0" applyFont="1" applyFill="1" applyBorder="1" applyAlignment="1" applyProtection="1">
      <alignment horizontal="center" vertical="center"/>
      <protection hidden="1"/>
    </xf>
    <xf numFmtId="0" fontId="1" fillId="24" borderId="53" xfId="0" applyFont="1" applyFill="1" applyBorder="1" applyAlignment="1" applyProtection="1">
      <alignment horizontal="center" vertical="center"/>
      <protection hidden="1"/>
    </xf>
    <xf numFmtId="0" fontId="1" fillId="24" borderId="60" xfId="0" applyFont="1" applyFill="1" applyBorder="1" applyAlignment="1" applyProtection="1">
      <alignment horizontal="center" vertical="center"/>
      <protection hidden="1"/>
    </xf>
    <xf numFmtId="0" fontId="1" fillId="25" borderId="58" xfId="0" applyFont="1" applyFill="1" applyBorder="1" applyAlignment="1" applyProtection="1">
      <alignment horizontal="center" vertical="center"/>
      <protection hidden="1"/>
    </xf>
    <xf numFmtId="0" fontId="36" fillId="25" borderId="61" xfId="0" applyFont="1" applyFill="1" applyBorder="1" applyAlignment="1">
      <alignment horizontal="center" vertical="center"/>
    </xf>
    <xf numFmtId="2" fontId="1" fillId="25" borderId="49" xfId="0" applyNumberFormat="1" applyFont="1" applyFill="1" applyBorder="1" applyAlignment="1" applyProtection="1">
      <alignment horizontal="center" vertical="center"/>
      <protection hidden="1"/>
    </xf>
    <xf numFmtId="0" fontId="1" fillId="25" borderId="46" xfId="0" applyFont="1" applyFill="1" applyBorder="1" applyAlignment="1" applyProtection="1">
      <alignment horizontal="center" vertical="center"/>
      <protection hidden="1"/>
    </xf>
    <xf numFmtId="2" fontId="1" fillId="24" borderId="48" xfId="0" applyNumberFormat="1" applyFont="1" applyFill="1" applyBorder="1" applyAlignment="1" applyProtection="1">
      <alignment horizontal="center" vertical="center"/>
      <protection hidden="1"/>
    </xf>
    <xf numFmtId="0" fontId="1" fillId="21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1" fontId="3" fillId="26" borderId="10" xfId="0" applyNumberFormat="1" applyFont="1" applyFill="1" applyBorder="1" applyAlignment="1" applyProtection="1">
      <alignment horizontal="center"/>
      <protection hidden="1"/>
    </xf>
    <xf numFmtId="1" fontId="3" fillId="26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62" xfId="0" applyFont="1" applyBorder="1" applyProtection="1">
      <protection hidden="1"/>
    </xf>
    <xf numFmtId="0" fontId="26" fillId="14" borderId="63" xfId="2" applyFont="1" applyFill="1" applyBorder="1" applyAlignment="1" applyProtection="1">
      <alignment horizontal="center"/>
      <protection locked="0"/>
    </xf>
    <xf numFmtId="0" fontId="1" fillId="14" borderId="60" xfId="0" applyFont="1" applyFill="1" applyBorder="1" applyAlignment="1" applyProtection="1">
      <alignment horizont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1" fontId="2" fillId="0" borderId="39" xfId="0" applyNumberFormat="1" applyFont="1" applyFill="1" applyBorder="1" applyAlignment="1" applyProtection="1">
      <alignment horizontal="center"/>
      <protection hidden="1"/>
    </xf>
    <xf numFmtId="0" fontId="5" fillId="17" borderId="41" xfId="0" applyFont="1" applyFill="1" applyBorder="1" applyAlignment="1" applyProtection="1">
      <alignment vertical="center"/>
      <protection hidden="1"/>
    </xf>
    <xf numFmtId="0" fontId="5" fillId="17" borderId="6" xfId="0" applyFont="1" applyFill="1" applyBorder="1" applyAlignment="1" applyProtection="1">
      <alignment vertical="center"/>
      <protection hidden="1"/>
    </xf>
    <xf numFmtId="0" fontId="5" fillId="17" borderId="12" xfId="0" applyFont="1" applyFill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78" fontId="0" fillId="0" borderId="55" xfId="0" applyNumberFormat="1" applyBorder="1" applyProtection="1">
      <protection locked="0"/>
    </xf>
    <xf numFmtId="178" fontId="0" fillId="0" borderId="43" xfId="0" applyNumberFormat="1" applyBorder="1" applyProtection="1">
      <protection locked="0"/>
    </xf>
    <xf numFmtId="178" fontId="0" fillId="0" borderId="64" xfId="0" applyNumberFormat="1" applyBorder="1"/>
    <xf numFmtId="178" fontId="0" fillId="0" borderId="65" xfId="0" applyNumberFormat="1" applyBorder="1"/>
    <xf numFmtId="178" fontId="0" fillId="0" borderId="44" xfId="0" applyNumberFormat="1" applyBorder="1"/>
    <xf numFmtId="0" fontId="36" fillId="0" borderId="62" xfId="0" applyFont="1" applyBorder="1" applyAlignment="1">
      <alignment horizontal="center" vertical="center"/>
    </xf>
    <xf numFmtId="0" fontId="0" fillId="16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4"/>
    <xf numFmtId="0" fontId="115" fillId="0" borderId="0" xfId="4" applyFont="1"/>
    <xf numFmtId="0" fontId="117" fillId="0" borderId="0" xfId="4" applyFont="1"/>
    <xf numFmtId="0" fontId="118" fillId="15" borderId="0" xfId="4" applyFont="1" applyFill="1"/>
    <xf numFmtId="0" fontId="36" fillId="15" borderId="0" xfId="4" applyFill="1"/>
    <xf numFmtId="0" fontId="119" fillId="0" borderId="0" xfId="4" applyFont="1"/>
    <xf numFmtId="0" fontId="120" fillId="0" borderId="0" xfId="4" applyFont="1"/>
    <xf numFmtId="0" fontId="121" fillId="0" borderId="0" xfId="4" applyFont="1"/>
    <xf numFmtId="0" fontId="118" fillId="14" borderId="0" xfId="4" applyFont="1" applyFill="1"/>
    <xf numFmtId="0" fontId="36" fillId="14" borderId="0" xfId="4" applyFill="1"/>
    <xf numFmtId="0" fontId="117" fillId="14" borderId="0" xfId="4" applyFont="1" applyFill="1"/>
    <xf numFmtId="0" fontId="36" fillId="0" borderId="0" xfId="4" applyFont="1" applyBorder="1" applyAlignment="1"/>
    <xf numFmtId="0" fontId="5" fillId="9" borderId="0" xfId="4" applyFont="1" applyFill="1" applyProtection="1">
      <protection locked="0"/>
    </xf>
    <xf numFmtId="0" fontId="1" fillId="9" borderId="0" xfId="4" applyFont="1" applyFill="1" applyProtection="1"/>
    <xf numFmtId="0" fontId="1" fillId="27" borderId="0" xfId="4" applyFont="1" applyFill="1" applyProtection="1"/>
    <xf numFmtId="0" fontId="5" fillId="27" borderId="0" xfId="4" applyFont="1" applyFill="1" applyBorder="1" applyAlignment="1" applyProtection="1">
      <alignment horizontal="center"/>
      <protection locked="0"/>
    </xf>
    <xf numFmtId="0" fontId="6" fillId="14" borderId="0" xfId="4" applyFont="1" applyFill="1" applyBorder="1" applyAlignment="1" applyProtection="1">
      <alignment horizontal="center" vertical="center"/>
      <protection hidden="1"/>
    </xf>
    <xf numFmtId="0" fontId="6" fillId="27" borderId="0" xfId="4" applyFont="1" applyFill="1" applyBorder="1" applyAlignment="1" applyProtection="1">
      <alignment horizontal="center" vertical="center"/>
      <protection hidden="1"/>
    </xf>
    <xf numFmtId="169" fontId="4" fillId="27" borderId="0" xfId="4" applyNumberFormat="1" applyFont="1" applyFill="1" applyBorder="1" applyAlignment="1" applyProtection="1">
      <alignment horizontal="center" vertical="center"/>
      <protection locked="0"/>
    </xf>
    <xf numFmtId="0" fontId="36" fillId="14" borderId="0" xfId="4" applyFont="1" applyFill="1"/>
    <xf numFmtId="0" fontId="36" fillId="27" borderId="0" xfId="4" applyFill="1" applyBorder="1"/>
    <xf numFmtId="0" fontId="5" fillId="27" borderId="0" xfId="4" applyFont="1" applyFill="1" applyBorder="1" applyAlignment="1" applyProtection="1">
      <alignment horizontal="center" vertical="center"/>
      <protection locked="0"/>
    </xf>
    <xf numFmtId="0" fontId="5" fillId="16" borderId="11" xfId="4" applyFont="1" applyFill="1" applyBorder="1" applyAlignment="1" applyProtection="1">
      <alignment horizontal="center" vertical="center"/>
      <protection locked="0"/>
    </xf>
    <xf numFmtId="0" fontId="36" fillId="0" borderId="0" xfId="4" applyFont="1"/>
    <xf numFmtId="14" fontId="5" fillId="27" borderId="0" xfId="4" applyNumberFormat="1" applyFont="1" applyFill="1" applyBorder="1" applyAlignment="1" applyProtection="1">
      <alignment horizontal="center" vertical="center"/>
      <protection locked="0"/>
    </xf>
    <xf numFmtId="14" fontId="5" fillId="16" borderId="11" xfId="4" applyNumberFormat="1" applyFont="1" applyFill="1" applyBorder="1" applyAlignment="1" applyProtection="1">
      <alignment horizontal="center" vertical="center"/>
      <protection locked="0"/>
    </xf>
    <xf numFmtId="0" fontId="5" fillId="27" borderId="0" xfId="4" applyNumberFormat="1" applyFont="1" applyFill="1" applyBorder="1" applyAlignment="1" applyProtection="1">
      <alignment horizontal="center" vertical="center"/>
      <protection locked="0"/>
    </xf>
    <xf numFmtId="0" fontId="5" fillId="16" borderId="11" xfId="4" applyNumberFormat="1" applyFont="1" applyFill="1" applyBorder="1" applyAlignment="1" applyProtection="1">
      <alignment horizontal="center" vertical="center"/>
      <protection locked="0"/>
    </xf>
    <xf numFmtId="171" fontId="14" fillId="27" borderId="0" xfId="4" applyNumberFormat="1" applyFont="1" applyFill="1" applyBorder="1" applyAlignment="1" applyProtection="1">
      <alignment horizontal="center" vertical="center"/>
      <protection locked="0"/>
    </xf>
    <xf numFmtId="171" fontId="14" fillId="16" borderId="11" xfId="4" applyNumberFormat="1" applyFont="1" applyFill="1" applyBorder="1" applyAlignment="1" applyProtection="1">
      <alignment horizontal="center" vertical="center"/>
      <protection locked="0"/>
    </xf>
    <xf numFmtId="0" fontId="36" fillId="27" borderId="0" xfId="4" applyFill="1"/>
    <xf numFmtId="0" fontId="124" fillId="27" borderId="0" xfId="4" applyFont="1" applyFill="1" applyBorder="1" applyAlignment="1" applyProtection="1">
      <alignment horizontal="center" vertical="center"/>
      <protection hidden="1"/>
    </xf>
    <xf numFmtId="0" fontId="6" fillId="15" borderId="0" xfId="0" applyFont="1" applyFill="1" applyBorder="1" applyAlignment="1" applyProtection="1">
      <alignment horizontal="center" vertical="center"/>
      <protection hidden="1"/>
    </xf>
    <xf numFmtId="0" fontId="5" fillId="15" borderId="0" xfId="0" applyFont="1" applyFill="1" applyAlignment="1" applyProtection="1">
      <alignment horizontal="left"/>
      <protection hidden="1"/>
    </xf>
    <xf numFmtId="176" fontId="2" fillId="0" borderId="0" xfId="0" applyNumberFormat="1" applyFont="1" applyProtection="1">
      <protection hidden="1"/>
    </xf>
    <xf numFmtId="179" fontId="2" fillId="0" borderId="0" xfId="0" applyNumberFormat="1" applyFont="1" applyProtection="1">
      <protection hidden="1"/>
    </xf>
    <xf numFmtId="0" fontId="5" fillId="15" borderId="0" xfId="0" applyFont="1" applyFill="1" applyAlignment="1" applyProtection="1">
      <alignment horizontal="left" vertical="center"/>
      <protection hidden="1"/>
    </xf>
    <xf numFmtId="0" fontId="5" fillId="15" borderId="0" xfId="0" applyFont="1" applyFill="1" applyBorder="1" applyAlignment="1" applyProtection="1">
      <alignment horizontal="left" vertical="center"/>
      <protection locked="0"/>
    </xf>
    <xf numFmtId="0" fontId="14" fillId="15" borderId="0" xfId="0" applyFont="1" applyFill="1" applyBorder="1" applyAlignment="1" applyProtection="1">
      <alignment horizontal="left" vertical="center"/>
      <protection hidden="1"/>
    </xf>
    <xf numFmtId="175" fontId="5" fillId="15" borderId="0" xfId="0" applyNumberFormat="1" applyFont="1" applyFill="1" applyBorder="1" applyAlignment="1" applyProtection="1">
      <alignment horizontal="left" vertical="center"/>
      <protection hidden="1"/>
    </xf>
    <xf numFmtId="169" fontId="4" fillId="16" borderId="46" xfId="0" applyNumberFormat="1" applyFont="1" applyFill="1" applyBorder="1" applyAlignment="1" applyProtection="1">
      <alignment horizontal="center" vertical="center"/>
      <protection locked="0"/>
    </xf>
    <xf numFmtId="0" fontId="1" fillId="16" borderId="46" xfId="0" applyFont="1" applyFill="1" applyBorder="1" applyAlignment="1" applyProtection="1">
      <alignment horizontal="center" vertical="center"/>
      <protection locked="0"/>
    </xf>
    <xf numFmtId="1" fontId="2" fillId="6" borderId="54" xfId="0" applyNumberFormat="1" applyFont="1" applyFill="1" applyBorder="1" applyAlignment="1" applyProtection="1">
      <alignment horizontal="center"/>
      <protection hidden="1"/>
    </xf>
    <xf numFmtId="1" fontId="23" fillId="2" borderId="0" xfId="0" applyNumberFormat="1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175" fontId="14" fillId="0" borderId="0" xfId="0" applyNumberFormat="1" applyFont="1" applyProtection="1">
      <protection hidden="1"/>
    </xf>
    <xf numFmtId="0" fontId="1" fillId="15" borderId="0" xfId="0" applyFont="1" applyFill="1" applyBorder="1" applyProtection="1">
      <protection hidden="1"/>
    </xf>
    <xf numFmtId="0" fontId="60" fillId="0" borderId="7" xfId="0" applyFont="1" applyBorder="1" applyAlignment="1"/>
    <xf numFmtId="0" fontId="60" fillId="0" borderId="6" xfId="0" applyFont="1" applyBorder="1" applyAlignment="1"/>
    <xf numFmtId="0" fontId="60" fillId="0" borderId="12" xfId="0" applyFont="1" applyBorder="1" applyAlignment="1"/>
    <xf numFmtId="0" fontId="5" fillId="16" borderId="4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14" fillId="0" borderId="66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 vertical="center"/>
      <protection hidden="1"/>
    </xf>
    <xf numFmtId="0" fontId="48" fillId="16" borderId="46" xfId="0" applyFont="1" applyFill="1" applyBorder="1" applyAlignment="1" applyProtection="1">
      <alignment horizontal="center" vertical="center"/>
      <protection locked="0"/>
    </xf>
    <xf numFmtId="2" fontId="5" fillId="16" borderId="11" xfId="0" applyNumberFormat="1" applyFont="1" applyFill="1" applyBorder="1" applyAlignment="1" applyProtection="1">
      <alignment horizontal="center" vertical="center"/>
      <protection locked="0"/>
    </xf>
    <xf numFmtId="1" fontId="5" fillId="16" borderId="11" xfId="0" applyNumberFormat="1" applyFont="1" applyFill="1" applyBorder="1" applyAlignment="1" applyProtection="1">
      <alignment horizontal="center" vertical="center"/>
      <protection locked="0"/>
    </xf>
    <xf numFmtId="168" fontId="3" fillId="0" borderId="16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1" fontId="3" fillId="0" borderId="16" xfId="0" applyNumberFormat="1" applyFont="1" applyBorder="1" applyProtection="1">
      <protection hidden="1"/>
    </xf>
    <xf numFmtId="1" fontId="3" fillId="0" borderId="17" xfId="0" applyNumberFormat="1" applyFont="1" applyBorder="1" applyProtection="1">
      <protection hidden="1"/>
    </xf>
    <xf numFmtId="1" fontId="15" fillId="0" borderId="16" xfId="0" applyNumberFormat="1" applyFont="1" applyFill="1" applyBorder="1" applyProtection="1">
      <protection hidden="1"/>
    </xf>
    <xf numFmtId="1" fontId="15" fillId="0" borderId="17" xfId="0" applyNumberFormat="1" applyFont="1" applyFill="1" applyBorder="1" applyProtection="1">
      <protection hidden="1"/>
    </xf>
    <xf numFmtId="168" fontId="5" fillId="0" borderId="0" xfId="0" applyNumberFormat="1" applyFont="1" applyBorder="1" applyAlignment="1" applyProtection="1">
      <protection hidden="1"/>
    </xf>
    <xf numFmtId="0" fontId="65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5" fillId="22" borderId="55" xfId="0" applyFont="1" applyFill="1" applyBorder="1" applyAlignment="1" applyProtection="1">
      <alignment horizontal="center" vertical="center"/>
      <protection hidden="1"/>
    </xf>
    <xf numFmtId="0" fontId="1" fillId="23" borderId="11" xfId="0" applyFont="1" applyFill="1" applyBorder="1" applyAlignment="1" applyProtection="1">
      <alignment horizontal="center" vertical="center"/>
      <protection hidden="1"/>
    </xf>
    <xf numFmtId="0" fontId="1" fillId="23" borderId="61" xfId="0" applyFont="1" applyFill="1" applyBorder="1" applyAlignment="1" applyProtection="1">
      <alignment horizontal="center" vertical="center"/>
      <protection hidden="1"/>
    </xf>
    <xf numFmtId="0" fontId="5" fillId="23" borderId="50" xfId="0" applyFont="1" applyFill="1" applyBorder="1" applyAlignment="1" applyProtection="1">
      <alignment horizontal="center" vertical="center"/>
      <protection hidden="1"/>
    </xf>
    <xf numFmtId="0" fontId="5" fillId="23" borderId="54" xfId="0" applyFont="1" applyFill="1" applyBorder="1" applyAlignment="1" applyProtection="1">
      <alignment horizontal="center" vertical="center"/>
      <protection hidden="1"/>
    </xf>
    <xf numFmtId="0" fontId="5" fillId="23" borderId="55" xfId="0" applyFont="1" applyFill="1" applyBorder="1" applyAlignment="1" applyProtection="1">
      <alignment horizontal="center" vertical="center"/>
      <protection hidden="1"/>
    </xf>
    <xf numFmtId="0" fontId="5" fillId="23" borderId="39" xfId="0" applyFont="1" applyFill="1" applyBorder="1" applyAlignment="1" applyProtection="1">
      <alignment horizontal="center" vertical="center"/>
      <protection hidden="1"/>
    </xf>
    <xf numFmtId="0" fontId="1" fillId="23" borderId="35" xfId="0" applyFont="1" applyFill="1" applyBorder="1" applyAlignment="1" applyProtection="1">
      <alignment horizontal="center"/>
      <protection hidden="1"/>
    </xf>
    <xf numFmtId="1" fontId="5" fillId="23" borderId="68" xfId="0" applyNumberFormat="1" applyFont="1" applyFill="1" applyBorder="1" applyAlignment="1" applyProtection="1">
      <alignment horizontal="center" vertical="center"/>
      <protection hidden="1"/>
    </xf>
    <xf numFmtId="1" fontId="5" fillId="23" borderId="69" xfId="0" applyNumberFormat="1" applyFont="1" applyFill="1" applyBorder="1" applyAlignment="1" applyProtection="1">
      <alignment horizontal="center" vertical="center"/>
      <protection hidden="1"/>
    </xf>
    <xf numFmtId="1" fontId="5" fillId="23" borderId="33" xfId="0" applyNumberFormat="1" applyFont="1" applyFill="1" applyBorder="1" applyAlignment="1" applyProtection="1">
      <alignment horizontal="center" vertical="center"/>
      <protection hidden="1"/>
    </xf>
    <xf numFmtId="2" fontId="5" fillId="23" borderId="33" xfId="0" applyNumberFormat="1" applyFont="1" applyFill="1" applyBorder="1" applyAlignment="1" applyProtection="1">
      <alignment horizontal="center" vertical="center"/>
      <protection hidden="1"/>
    </xf>
    <xf numFmtId="2" fontId="5" fillId="23" borderId="70" xfId="0" applyNumberFormat="1" applyFont="1" applyFill="1" applyBorder="1" applyAlignment="1" applyProtection="1">
      <alignment horizontal="center" vertical="center"/>
      <protection hidden="1"/>
    </xf>
    <xf numFmtId="2" fontId="5" fillId="24" borderId="69" xfId="0" applyNumberFormat="1" applyFont="1" applyFill="1" applyBorder="1" applyAlignment="1" applyProtection="1">
      <alignment horizontal="center" vertical="center"/>
      <protection hidden="1"/>
    </xf>
    <xf numFmtId="1" fontId="5" fillId="24" borderId="69" xfId="0" applyNumberFormat="1" applyFont="1" applyFill="1" applyBorder="1" applyAlignment="1" applyProtection="1">
      <alignment horizontal="center" vertical="center"/>
      <protection hidden="1"/>
    </xf>
    <xf numFmtId="1" fontId="5" fillId="24" borderId="33" xfId="0" applyNumberFormat="1" applyFont="1" applyFill="1" applyBorder="1" applyAlignment="1" applyProtection="1">
      <alignment horizontal="center" vertical="center"/>
      <protection hidden="1"/>
    </xf>
    <xf numFmtId="1" fontId="5" fillId="25" borderId="71" xfId="0" applyNumberFormat="1" applyFont="1" applyFill="1" applyBorder="1" applyAlignment="1" applyProtection="1">
      <alignment horizontal="center" vertical="center"/>
      <protection hidden="1"/>
    </xf>
    <xf numFmtId="1" fontId="5" fillId="25" borderId="72" xfId="0" applyNumberFormat="1" applyFont="1" applyFill="1" applyBorder="1" applyAlignment="1" applyProtection="1">
      <alignment horizontal="center" vertical="center"/>
      <protection hidden="1"/>
    </xf>
    <xf numFmtId="1" fontId="5" fillId="25" borderId="73" xfId="0" applyNumberFormat="1" applyFont="1" applyFill="1" applyBorder="1" applyAlignment="1" applyProtection="1">
      <alignment horizontal="center" vertical="center"/>
      <protection hidden="1"/>
    </xf>
    <xf numFmtId="2" fontId="5" fillId="25" borderId="34" xfId="0" applyNumberFormat="1" applyFont="1" applyFill="1" applyBorder="1" applyAlignment="1" applyProtection="1">
      <alignment horizontal="center" vertical="center"/>
      <protection hidden="1"/>
    </xf>
    <xf numFmtId="0" fontId="1" fillId="23" borderId="42" xfId="0" applyFont="1" applyFill="1" applyBorder="1" applyAlignment="1" applyProtection="1">
      <alignment horizontal="center" vertical="center"/>
      <protection hidden="1"/>
    </xf>
    <xf numFmtId="2" fontId="5" fillId="24" borderId="70" xfId="0" applyNumberFormat="1" applyFont="1" applyFill="1" applyBorder="1" applyAlignment="1" applyProtection="1">
      <alignment horizontal="center" vertical="center"/>
      <protection hidden="1"/>
    </xf>
    <xf numFmtId="2" fontId="14" fillId="22" borderId="4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left" vertical="justify"/>
    </xf>
    <xf numFmtId="0" fontId="32" fillId="0" borderId="0" xfId="0" applyNumberFormat="1" applyFont="1" applyAlignment="1">
      <alignment vertical="justify"/>
    </xf>
    <xf numFmtId="0" fontId="2" fillId="14" borderId="0" xfId="0" applyFont="1" applyFill="1" applyBorder="1" applyProtection="1">
      <protection hidden="1"/>
    </xf>
    <xf numFmtId="0" fontId="2" fillId="14" borderId="0" xfId="0" applyFont="1" applyFill="1" applyProtection="1">
      <protection hidden="1"/>
    </xf>
    <xf numFmtId="1" fontId="3" fillId="14" borderId="0" xfId="0" applyNumberFormat="1" applyFont="1" applyFill="1" applyBorder="1" applyProtection="1">
      <protection hidden="1"/>
    </xf>
    <xf numFmtId="0" fontId="5" fillId="17" borderId="11" xfId="0" applyFont="1" applyFill="1" applyBorder="1" applyAlignment="1" applyProtection="1">
      <alignment vertical="center"/>
      <protection hidden="1"/>
    </xf>
    <xf numFmtId="0" fontId="1" fillId="17" borderId="11" xfId="0" applyFont="1" applyFill="1" applyBorder="1" applyAlignment="1" applyProtection="1">
      <alignment vertical="center"/>
      <protection hidden="1"/>
    </xf>
    <xf numFmtId="0" fontId="5" fillId="17" borderId="48" xfId="0" applyFont="1" applyFill="1" applyBorder="1" applyAlignment="1" applyProtection="1">
      <alignment vertical="center"/>
      <protection hidden="1"/>
    </xf>
    <xf numFmtId="0" fontId="1" fillId="17" borderId="48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Protection="1">
      <protection hidden="1"/>
    </xf>
    <xf numFmtId="0" fontId="29" fillId="16" borderId="59" xfId="0" applyFont="1" applyFill="1" applyBorder="1" applyAlignment="1" applyProtection="1">
      <alignment horizontal="center" vertical="center"/>
      <protection locked="0"/>
    </xf>
    <xf numFmtId="0" fontId="29" fillId="16" borderId="51" xfId="0" applyFont="1" applyFill="1" applyBorder="1" applyAlignment="1" applyProtection="1">
      <alignment horizontal="center" vertical="center"/>
      <protection locked="0"/>
    </xf>
    <xf numFmtId="0" fontId="29" fillId="16" borderId="53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protection hidden="1"/>
    </xf>
    <xf numFmtId="1" fontId="15" fillId="0" borderId="0" xfId="0" applyNumberFormat="1" applyFont="1" applyFill="1" applyAlignment="1" applyProtection="1">
      <alignment horizontal="center"/>
      <protection hidden="1"/>
    </xf>
    <xf numFmtId="0" fontId="62" fillId="0" borderId="0" xfId="0" applyFont="1" applyFill="1" applyProtection="1"/>
    <xf numFmtId="0" fontId="1" fillId="0" borderId="7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2" fontId="1" fillId="0" borderId="7" xfId="0" applyNumberFormat="1" applyFont="1" applyBorder="1" applyProtection="1">
      <protection hidden="1"/>
    </xf>
    <xf numFmtId="2" fontId="1" fillId="0" borderId="12" xfId="0" applyNumberFormat="1" applyFont="1" applyBorder="1" applyProtection="1">
      <protection hidden="1"/>
    </xf>
    <xf numFmtId="17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/>
      <protection hidden="1"/>
    </xf>
    <xf numFmtId="1" fontId="41" fillId="28" borderId="0" xfId="0" applyNumberFormat="1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1" fillId="15" borderId="0" xfId="0" applyFont="1" applyFill="1" applyBorder="1" applyAlignment="1" applyProtection="1">
      <protection hidden="1"/>
    </xf>
    <xf numFmtId="0" fontId="1" fillId="15" borderId="0" xfId="0" applyFont="1" applyFill="1" applyAlignment="1" applyProtection="1">
      <alignment horizontal="center" vertical="center"/>
      <protection hidden="1"/>
    </xf>
    <xf numFmtId="1" fontId="21" fillId="14" borderId="11" xfId="0" applyNumberFormat="1" applyFont="1" applyFill="1" applyBorder="1" applyAlignment="1" applyProtection="1">
      <alignment horizontal="center"/>
      <protection hidden="1"/>
    </xf>
    <xf numFmtId="175" fontId="5" fillId="14" borderId="46" xfId="0" applyNumberFormat="1" applyFont="1" applyFill="1" applyBorder="1" applyAlignment="1" applyProtection="1">
      <alignment horizontal="center" vertical="center"/>
      <protection hidden="1"/>
    </xf>
    <xf numFmtId="0" fontId="30" fillId="15" borderId="0" xfId="0" applyFont="1" applyFill="1" applyAlignment="1" applyProtection="1">
      <alignment horizontal="center" vertical="center"/>
      <protection hidden="1"/>
    </xf>
    <xf numFmtId="0" fontId="1" fillId="29" borderId="0" xfId="0" applyFont="1" applyFill="1" applyAlignment="1" applyProtection="1">
      <protection hidden="1"/>
    </xf>
    <xf numFmtId="0" fontId="1" fillId="29" borderId="0" xfId="0" applyFont="1" applyFill="1" applyAlignment="1" applyProtection="1">
      <alignment horizontal="center"/>
      <protection hidden="1"/>
    </xf>
    <xf numFmtId="0" fontId="29" fillId="29" borderId="0" xfId="0" applyFont="1" applyFill="1" applyBorder="1" applyAlignment="1" applyProtection="1">
      <alignment horizontal="center" vertical="center"/>
      <protection hidden="1"/>
    </xf>
    <xf numFmtId="0" fontId="1" fillId="29" borderId="0" xfId="0" applyFont="1" applyFill="1" applyBorder="1" applyAlignment="1" applyProtection="1">
      <alignment horizontal="center"/>
      <protection hidden="1"/>
    </xf>
    <xf numFmtId="0" fontId="1" fillId="29" borderId="0" xfId="0" applyFont="1" applyFill="1" applyBorder="1" applyAlignment="1" applyProtection="1">
      <alignment horizontal="center"/>
      <protection locked="0"/>
    </xf>
    <xf numFmtId="0" fontId="1" fillId="29" borderId="0" xfId="0" applyFont="1" applyFill="1" applyProtection="1">
      <protection hidden="1"/>
    </xf>
    <xf numFmtId="0" fontId="5" fillId="29" borderId="0" xfId="0" applyFont="1" applyFill="1" applyAlignment="1" applyProtection="1">
      <alignment horizontal="left"/>
      <protection locked="0"/>
    </xf>
    <xf numFmtId="2" fontId="1" fillId="29" borderId="0" xfId="0" applyNumberFormat="1" applyFont="1" applyFill="1" applyProtection="1">
      <protection hidden="1"/>
    </xf>
    <xf numFmtId="0" fontId="1" fillId="29" borderId="0" xfId="0" applyFont="1" applyFill="1" applyProtection="1">
      <protection locked="0"/>
    </xf>
    <xf numFmtId="0" fontId="5" fillId="14" borderId="0" xfId="0" applyFont="1" applyFill="1" applyAlignment="1" applyProtection="1">
      <protection locked="0"/>
    </xf>
    <xf numFmtId="1" fontId="5" fillId="0" borderId="0" xfId="0" applyNumberFormat="1" applyFont="1" applyFill="1" applyAlignment="1" applyProtection="1">
      <alignment horizontal="left"/>
      <protection hidden="1"/>
    </xf>
    <xf numFmtId="1" fontId="3" fillId="6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175" fontId="5" fillId="14" borderId="0" xfId="0" applyNumberFormat="1" applyFont="1" applyFill="1" applyBorder="1" applyAlignment="1" applyProtection="1">
      <alignment horizontal="center" vertical="center"/>
      <protection hidden="1"/>
    </xf>
    <xf numFmtId="177" fontId="4" fillId="0" borderId="40" xfId="0" applyNumberFormat="1" applyFont="1" applyFill="1" applyBorder="1" applyAlignment="1" applyProtection="1">
      <alignment horizontal="center" vertical="center"/>
      <protection hidden="1"/>
    </xf>
    <xf numFmtId="177" fontId="4" fillId="15" borderId="0" xfId="0" applyNumberFormat="1" applyFont="1" applyFill="1" applyBorder="1" applyAlignment="1" applyProtection="1">
      <alignment vertical="center"/>
      <protection hidden="1"/>
    </xf>
    <xf numFmtId="177" fontId="5" fillId="15" borderId="0" xfId="0" applyNumberFormat="1" applyFont="1" applyFill="1" applyBorder="1" applyAlignment="1" applyProtection="1">
      <alignment vertical="center"/>
      <protection hidden="1"/>
    </xf>
    <xf numFmtId="177" fontId="5" fillId="18" borderId="46" xfId="0" applyNumberFormat="1" applyFont="1" applyFill="1" applyBorder="1" applyAlignment="1" applyProtection="1">
      <alignment vertical="center"/>
      <protection hidden="1"/>
    </xf>
    <xf numFmtId="0" fontId="0" fillId="14" borderId="0" xfId="0" applyFill="1" applyBorder="1" applyAlignment="1">
      <alignment vertical="center"/>
    </xf>
    <xf numFmtId="0" fontId="1" fillId="14" borderId="0" xfId="0" applyFont="1" applyFill="1" applyBorder="1" applyAlignment="1" applyProtection="1">
      <alignment vertical="center"/>
      <protection hidden="1"/>
    </xf>
    <xf numFmtId="2" fontId="1" fillId="14" borderId="0" xfId="0" applyNumberFormat="1" applyFont="1" applyFill="1" applyBorder="1" applyAlignment="1" applyProtection="1">
      <alignment horizontal="right" vertical="center"/>
      <protection hidden="1"/>
    </xf>
    <xf numFmtId="2" fontId="1" fillId="14" borderId="0" xfId="0" applyNumberFormat="1" applyFont="1" applyFill="1" applyBorder="1" applyAlignment="1" applyProtection="1">
      <alignment vertical="center"/>
      <protection hidden="1"/>
    </xf>
    <xf numFmtId="2" fontId="1" fillId="14" borderId="0" xfId="0" applyNumberFormat="1" applyFont="1" applyFill="1" applyAlignment="1" applyProtection="1">
      <alignment vertical="center"/>
      <protection hidden="1"/>
    </xf>
    <xf numFmtId="2" fontId="1" fillId="14" borderId="0" xfId="0" applyNumberFormat="1" applyFont="1" applyFill="1" applyAlignment="1" applyProtection="1">
      <alignment horizontal="right" vertical="center"/>
      <protection hidden="1"/>
    </xf>
    <xf numFmtId="0" fontId="1" fillId="14" borderId="0" xfId="0" applyFont="1" applyFill="1" applyAlignment="1" applyProtection="1">
      <alignment vertical="center"/>
      <protection locked="0"/>
    </xf>
    <xf numFmtId="0" fontId="1" fillId="21" borderId="0" xfId="0" applyFont="1" applyFill="1" applyAlignment="1" applyProtection="1">
      <alignment vertical="center"/>
      <protection hidden="1"/>
    </xf>
    <xf numFmtId="175" fontId="5" fillId="14" borderId="40" xfId="0" applyNumberFormat="1" applyFont="1" applyFill="1" applyBorder="1" applyAlignment="1" applyProtection="1">
      <alignment horizontal="center" vertical="center"/>
      <protection hidden="1"/>
    </xf>
    <xf numFmtId="0" fontId="1" fillId="14" borderId="46" xfId="0" applyFont="1" applyFill="1" applyBorder="1" applyAlignment="1" applyProtection="1">
      <alignment vertical="center"/>
      <protection hidden="1"/>
    </xf>
    <xf numFmtId="177" fontId="1" fillId="14" borderId="46" xfId="0" applyNumberFormat="1" applyFont="1" applyFill="1" applyBorder="1" applyAlignment="1" applyProtection="1">
      <alignment vertical="center"/>
      <protection hidden="1"/>
    </xf>
    <xf numFmtId="177" fontId="38" fillId="17" borderId="46" xfId="0" applyNumberFormat="1" applyFont="1" applyFill="1" applyBorder="1" applyAlignment="1" applyProtection="1">
      <alignment vertical="center"/>
      <protection hidden="1"/>
    </xf>
    <xf numFmtId="177" fontId="38" fillId="0" borderId="40" xfId="0" applyNumberFormat="1" applyFont="1" applyFill="1" applyBorder="1" applyAlignment="1" applyProtection="1">
      <alignment horizontal="center" vertical="center"/>
      <protection hidden="1"/>
    </xf>
    <xf numFmtId="14" fontId="5" fillId="16" borderId="7" xfId="4" applyNumberFormat="1" applyFont="1" applyFill="1" applyBorder="1" applyAlignment="1" applyProtection="1">
      <alignment horizontal="center" vertical="center"/>
      <protection locked="0"/>
    </xf>
    <xf numFmtId="0" fontId="5" fillId="16" borderId="7" xfId="4" applyNumberFormat="1" applyFont="1" applyFill="1" applyBorder="1" applyAlignment="1" applyProtection="1">
      <alignment horizontal="center" vertical="center"/>
      <protection locked="0"/>
    </xf>
    <xf numFmtId="171" fontId="14" fillId="16" borderId="7" xfId="4" applyNumberFormat="1" applyFont="1" applyFill="1" applyBorder="1" applyAlignment="1" applyProtection="1">
      <alignment horizontal="center" vertical="center"/>
      <protection locked="0"/>
    </xf>
    <xf numFmtId="0" fontId="5" fillId="16" borderId="7" xfId="4" applyFont="1" applyFill="1" applyBorder="1" applyAlignment="1" applyProtection="1">
      <alignment horizontal="center" vertical="center"/>
      <protection locked="0"/>
    </xf>
    <xf numFmtId="0" fontId="6" fillId="17" borderId="41" xfId="4" applyFont="1" applyFill="1" applyBorder="1" applyAlignment="1" applyProtection="1">
      <alignment horizontal="center" vertical="center"/>
      <protection hidden="1"/>
    </xf>
    <xf numFmtId="0" fontId="6" fillId="17" borderId="6" xfId="4" applyFont="1" applyFill="1" applyBorder="1" applyAlignment="1" applyProtection="1">
      <alignment horizontal="center" vertical="center"/>
      <protection hidden="1"/>
    </xf>
    <xf numFmtId="0" fontId="6" fillId="17" borderId="12" xfId="4" applyFont="1" applyFill="1" applyBorder="1" applyAlignment="1" applyProtection="1">
      <alignment horizontal="center" vertical="center"/>
      <protection hidden="1"/>
    </xf>
    <xf numFmtId="0" fontId="16" fillId="16" borderId="7" xfId="4" applyFont="1" applyFill="1" applyBorder="1" applyAlignment="1" applyProtection="1">
      <alignment horizontal="center" vertical="center"/>
      <protection locked="0"/>
    </xf>
    <xf numFmtId="0" fontId="16" fillId="16" borderId="12" xfId="4" applyFont="1" applyFill="1" applyBorder="1" applyAlignment="1" applyProtection="1">
      <alignment horizontal="center" vertical="center"/>
      <protection locked="0"/>
    </xf>
    <xf numFmtId="0" fontId="128" fillId="17" borderId="16" xfId="4" applyFont="1" applyFill="1" applyBorder="1" applyAlignment="1" applyProtection="1">
      <alignment horizontal="center" vertical="center"/>
      <protection hidden="1"/>
    </xf>
    <xf numFmtId="0" fontId="128" fillId="17" borderId="0" xfId="4" applyFont="1" applyFill="1" applyBorder="1" applyAlignment="1" applyProtection="1">
      <alignment horizontal="center" vertical="center"/>
      <protection hidden="1"/>
    </xf>
    <xf numFmtId="14" fontId="5" fillId="16" borderId="7" xfId="4" applyNumberFormat="1" applyFont="1" applyFill="1" applyBorder="1" applyAlignment="1" applyProtection="1">
      <alignment horizontal="center" vertical="center"/>
      <protection locked="0"/>
    </xf>
    <xf numFmtId="14" fontId="5" fillId="16" borderId="12" xfId="4" applyNumberFormat="1" applyFont="1" applyFill="1" applyBorder="1" applyAlignment="1" applyProtection="1">
      <alignment horizontal="center" vertical="center"/>
      <protection locked="0"/>
    </xf>
    <xf numFmtId="0" fontId="5" fillId="16" borderId="7" xfId="4" applyNumberFormat="1" applyFont="1" applyFill="1" applyBorder="1" applyAlignment="1" applyProtection="1">
      <alignment horizontal="center" vertical="center"/>
      <protection locked="0"/>
    </xf>
    <xf numFmtId="0" fontId="5" fillId="16" borderId="12" xfId="4" applyNumberFormat="1" applyFont="1" applyFill="1" applyBorder="1" applyAlignment="1" applyProtection="1">
      <alignment horizontal="center" vertical="center"/>
      <protection locked="0"/>
    </xf>
    <xf numFmtId="171" fontId="14" fillId="16" borderId="7" xfId="4" applyNumberFormat="1" applyFont="1" applyFill="1" applyBorder="1" applyAlignment="1" applyProtection="1">
      <alignment horizontal="center" vertical="center"/>
      <protection locked="0"/>
    </xf>
    <xf numFmtId="171" fontId="14" fillId="16" borderId="12" xfId="4" applyNumberFormat="1" applyFont="1" applyFill="1" applyBorder="1" applyAlignment="1" applyProtection="1">
      <alignment horizontal="center" vertical="center"/>
      <protection locked="0"/>
    </xf>
    <xf numFmtId="0" fontId="48" fillId="16" borderId="40" xfId="4" applyFont="1" applyFill="1" applyBorder="1" applyAlignment="1" applyProtection="1">
      <alignment horizontal="center" vertical="center"/>
      <protection locked="0"/>
    </xf>
    <xf numFmtId="0" fontId="48" fillId="16" borderId="21" xfId="4" applyFont="1" applyFill="1" applyBorder="1" applyAlignment="1" applyProtection="1">
      <alignment horizontal="center" vertical="center"/>
      <protection locked="0"/>
    </xf>
    <xf numFmtId="0" fontId="48" fillId="16" borderId="23" xfId="4" applyFont="1" applyFill="1" applyBorder="1" applyAlignment="1" applyProtection="1">
      <alignment horizontal="center" vertical="center"/>
      <protection locked="0"/>
    </xf>
    <xf numFmtId="0" fontId="6" fillId="17" borderId="40" xfId="4" applyFont="1" applyFill="1" applyBorder="1" applyAlignment="1" applyProtection="1">
      <alignment horizontal="center" vertical="center"/>
      <protection hidden="1"/>
    </xf>
    <xf numFmtId="0" fontId="6" fillId="17" borderId="21" xfId="4" applyFont="1" applyFill="1" applyBorder="1" applyAlignment="1" applyProtection="1">
      <alignment horizontal="center" vertical="center"/>
      <protection hidden="1"/>
    </xf>
    <xf numFmtId="0" fontId="6" fillId="17" borderId="23" xfId="4" applyFont="1" applyFill="1" applyBorder="1" applyAlignment="1" applyProtection="1">
      <alignment horizontal="center" vertical="center"/>
      <protection hidden="1"/>
    </xf>
    <xf numFmtId="0" fontId="5" fillId="16" borderId="7" xfId="4" applyFont="1" applyFill="1" applyBorder="1" applyAlignment="1" applyProtection="1">
      <alignment horizontal="center" vertical="center"/>
      <protection locked="0"/>
    </xf>
    <xf numFmtId="0" fontId="5" fillId="16" borderId="12" xfId="4" applyFont="1" applyFill="1" applyBorder="1" applyAlignment="1" applyProtection="1">
      <alignment horizontal="center" vertical="center"/>
      <protection locked="0"/>
    </xf>
    <xf numFmtId="0" fontId="116" fillId="14" borderId="0" xfId="4" applyFont="1" applyFill="1" applyBorder="1" applyAlignment="1">
      <alignment horizontal="center"/>
    </xf>
    <xf numFmtId="0" fontId="116" fillId="14" borderId="17" xfId="4" applyFont="1" applyFill="1" applyBorder="1" applyAlignment="1">
      <alignment horizontal="center"/>
    </xf>
    <xf numFmtId="0" fontId="126" fillId="0" borderId="13" xfId="3" applyFont="1" applyBorder="1" applyAlignment="1" applyProtection="1">
      <alignment horizontal="justify" vertical="center"/>
    </xf>
    <xf numFmtId="0" fontId="126" fillId="0" borderId="14" xfId="3" applyFont="1" applyBorder="1" applyAlignment="1" applyProtection="1">
      <alignment horizontal="justify" vertical="center"/>
    </xf>
    <xf numFmtId="0" fontId="126" fillId="0" borderId="15" xfId="3" applyFont="1" applyBorder="1" applyAlignment="1" applyProtection="1">
      <alignment horizontal="justify" vertical="center"/>
    </xf>
    <xf numFmtId="0" fontId="126" fillId="0" borderId="16" xfId="3" applyFont="1" applyBorder="1" applyAlignment="1" applyProtection="1">
      <alignment horizontal="justify" vertical="center"/>
    </xf>
    <xf numFmtId="0" fontId="126" fillId="0" borderId="0" xfId="3" applyFont="1" applyBorder="1" applyAlignment="1" applyProtection="1">
      <alignment horizontal="justify" vertical="center"/>
    </xf>
    <xf numFmtId="0" fontId="126" fillId="0" borderId="17" xfId="3" applyFont="1" applyBorder="1" applyAlignment="1" applyProtection="1">
      <alignment horizontal="justify" vertical="center"/>
    </xf>
    <xf numFmtId="0" fontId="126" fillId="0" borderId="18" xfId="3" applyFont="1" applyBorder="1" applyAlignment="1" applyProtection="1">
      <alignment horizontal="justify" vertical="center"/>
    </xf>
    <xf numFmtId="0" fontId="126" fillId="0" borderId="19" xfId="3" applyFont="1" applyBorder="1" applyAlignment="1" applyProtection="1">
      <alignment horizontal="justify" vertical="center"/>
    </xf>
    <xf numFmtId="0" fontId="126" fillId="0" borderId="20" xfId="3" applyFont="1" applyBorder="1" applyAlignment="1" applyProtection="1">
      <alignment horizontal="justify" vertical="center"/>
    </xf>
    <xf numFmtId="0" fontId="5" fillId="16" borderId="11" xfId="4" applyFont="1" applyFill="1" applyBorder="1" applyAlignment="1" applyProtection="1">
      <alignment horizontal="center"/>
      <protection locked="0"/>
    </xf>
    <xf numFmtId="0" fontId="5" fillId="16" borderId="35" xfId="4" applyFont="1" applyFill="1" applyBorder="1" applyAlignment="1" applyProtection="1">
      <alignment horizontal="center"/>
      <protection locked="0"/>
    </xf>
    <xf numFmtId="169" fontId="4" fillId="16" borderId="11" xfId="4" applyNumberFormat="1" applyFont="1" applyFill="1" applyBorder="1" applyAlignment="1" applyProtection="1">
      <alignment horizontal="center" vertical="center"/>
      <protection locked="0"/>
    </xf>
    <xf numFmtId="169" fontId="4" fillId="16" borderId="35" xfId="4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0" fillId="11" borderId="11" xfId="0" applyFont="1" applyFill="1" applyBorder="1" applyAlignment="1" applyProtection="1">
      <alignment horizontal="center"/>
      <protection hidden="1"/>
    </xf>
    <xf numFmtId="0" fontId="5" fillId="30" borderId="50" xfId="0" applyFont="1" applyFill="1" applyBorder="1" applyAlignment="1" applyProtection="1">
      <alignment horizontal="center"/>
      <protection hidden="1"/>
    </xf>
    <xf numFmtId="0" fontId="5" fillId="30" borderId="54" xfId="0" applyFont="1" applyFill="1" applyBorder="1" applyAlignment="1" applyProtection="1">
      <alignment horizontal="center"/>
      <protection hidden="1"/>
    </xf>
    <xf numFmtId="0" fontId="5" fillId="30" borderId="39" xfId="0" applyFont="1" applyFill="1" applyBorder="1" applyAlignment="1" applyProtection="1">
      <alignment horizontal="center"/>
      <protection hidden="1"/>
    </xf>
    <xf numFmtId="0" fontId="5" fillId="30" borderId="40" xfId="0" applyFont="1" applyFill="1" applyBorder="1" applyAlignment="1" applyProtection="1">
      <alignment horizontal="center"/>
      <protection hidden="1"/>
    </xf>
    <xf numFmtId="0" fontId="5" fillId="30" borderId="21" xfId="0" applyFont="1" applyFill="1" applyBorder="1" applyAlignment="1" applyProtection="1">
      <alignment horizontal="center"/>
      <protection hidden="1"/>
    </xf>
    <xf numFmtId="0" fontId="5" fillId="30" borderId="23" xfId="0" applyFont="1" applyFill="1" applyBorder="1" applyAlignment="1" applyProtection="1">
      <alignment horizontal="center"/>
      <protection hidden="1"/>
    </xf>
    <xf numFmtId="0" fontId="29" fillId="17" borderId="40" xfId="0" applyFont="1" applyFill="1" applyBorder="1" applyAlignment="1" applyProtection="1">
      <alignment horizontal="center" vertical="center"/>
      <protection hidden="1"/>
    </xf>
    <xf numFmtId="0" fontId="29" fillId="17" borderId="21" xfId="0" applyFont="1" applyFill="1" applyBorder="1" applyAlignment="1" applyProtection="1">
      <alignment horizontal="center" vertical="center"/>
      <protection hidden="1"/>
    </xf>
    <xf numFmtId="0" fontId="29" fillId="17" borderId="23" xfId="0" applyFont="1" applyFill="1" applyBorder="1" applyAlignment="1" applyProtection="1">
      <alignment horizontal="center" vertical="center"/>
      <protection hidden="1"/>
    </xf>
    <xf numFmtId="0" fontId="1" fillId="15" borderId="21" xfId="0" applyFont="1" applyFill="1" applyBorder="1" applyAlignment="1" applyProtection="1">
      <alignment horizontal="center"/>
      <protection hidden="1"/>
    </xf>
    <xf numFmtId="177" fontId="84" fillId="15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53" xfId="0" applyFont="1" applyFill="1" applyBorder="1" applyAlignment="1" applyProtection="1">
      <alignment horizontal="center" vertical="center"/>
      <protection hidden="1"/>
    </xf>
    <xf numFmtId="0" fontId="1" fillId="17" borderId="48" xfId="0" applyFont="1" applyFill="1" applyBorder="1" applyAlignment="1" applyProtection="1">
      <alignment horizontal="center" vertical="center"/>
      <protection hidden="1"/>
    </xf>
    <xf numFmtId="177" fontId="4" fillId="17" borderId="40" xfId="0" applyNumberFormat="1" applyFont="1" applyFill="1" applyBorder="1" applyAlignment="1" applyProtection="1">
      <alignment horizontal="center" vertical="center"/>
      <protection hidden="1"/>
    </xf>
    <xf numFmtId="177" fontId="4" fillId="17" borderId="21" xfId="0" applyNumberFormat="1" applyFont="1" applyFill="1" applyBorder="1" applyAlignment="1" applyProtection="1">
      <alignment horizontal="center" vertical="center"/>
      <protection hidden="1"/>
    </xf>
    <xf numFmtId="177" fontId="4" fillId="17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5" fillId="17" borderId="40" xfId="0" applyFont="1" applyFill="1" applyBorder="1" applyAlignment="1" applyProtection="1">
      <alignment horizontal="center" vertical="center"/>
      <protection hidden="1"/>
    </xf>
    <xf numFmtId="0" fontId="5" fillId="17" borderId="21" xfId="0" applyFont="1" applyFill="1" applyBorder="1" applyAlignment="1" applyProtection="1">
      <alignment horizontal="center" vertical="center"/>
      <protection hidden="1"/>
    </xf>
    <xf numFmtId="0" fontId="5" fillId="17" borderId="23" xfId="0" applyFont="1" applyFill="1" applyBorder="1" applyAlignment="1" applyProtection="1">
      <alignment horizontal="center" vertical="center"/>
      <protection hidden="1"/>
    </xf>
    <xf numFmtId="0" fontId="14" fillId="17" borderId="71" xfId="0" applyFont="1" applyFill="1" applyBorder="1" applyAlignment="1" applyProtection="1">
      <alignment horizontal="center" vertical="center"/>
      <protection hidden="1"/>
    </xf>
    <xf numFmtId="0" fontId="14" fillId="17" borderId="72" xfId="0" applyFont="1" applyFill="1" applyBorder="1" applyAlignment="1" applyProtection="1">
      <alignment horizontal="center" vertical="center"/>
      <protection hidden="1"/>
    </xf>
    <xf numFmtId="0" fontId="14" fillId="17" borderId="34" xfId="0" applyFont="1" applyFill="1" applyBorder="1" applyAlignment="1" applyProtection="1">
      <alignment horizontal="center" vertical="center"/>
      <protection hidden="1"/>
    </xf>
    <xf numFmtId="0" fontId="5" fillId="17" borderId="41" xfId="0" applyFont="1" applyFill="1" applyBorder="1" applyAlignment="1" applyProtection="1">
      <alignment horizontal="center" vertical="center"/>
      <protection hidden="1"/>
    </xf>
    <xf numFmtId="0" fontId="5" fillId="17" borderId="6" xfId="0" applyFont="1" applyFill="1" applyBorder="1" applyAlignment="1" applyProtection="1">
      <alignment horizontal="center" vertical="center"/>
      <protection hidden="1"/>
    </xf>
    <xf numFmtId="0" fontId="5" fillId="17" borderId="12" xfId="0" applyFont="1" applyFill="1" applyBorder="1" applyAlignment="1" applyProtection="1">
      <alignment horizontal="center" vertical="center"/>
      <protection hidden="1"/>
    </xf>
    <xf numFmtId="177" fontId="5" fillId="17" borderId="18" xfId="0" applyNumberFormat="1" applyFont="1" applyFill="1" applyBorder="1" applyAlignment="1" applyProtection="1">
      <alignment horizontal="center" vertical="center"/>
      <protection hidden="1"/>
    </xf>
    <xf numFmtId="177" fontId="5" fillId="17" borderId="20" xfId="0" applyNumberFormat="1" applyFont="1" applyFill="1" applyBorder="1" applyAlignment="1" applyProtection="1">
      <alignment horizontal="center" vertical="center"/>
      <protection hidden="1"/>
    </xf>
    <xf numFmtId="0" fontId="29" fillId="17" borderId="75" xfId="0" applyFont="1" applyFill="1" applyBorder="1" applyAlignment="1" applyProtection="1">
      <alignment horizontal="center" vertical="center"/>
      <protection hidden="1"/>
    </xf>
    <xf numFmtId="0" fontId="29" fillId="17" borderId="80" xfId="0" applyFont="1" applyFill="1" applyBorder="1" applyAlignment="1" applyProtection="1">
      <alignment horizontal="center" vertical="center"/>
      <protection hidden="1"/>
    </xf>
    <xf numFmtId="0" fontId="29" fillId="17" borderId="64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5" fillId="23" borderId="40" xfId="0" applyFont="1" applyFill="1" applyBorder="1" applyAlignment="1" applyProtection="1">
      <alignment horizontal="center" vertical="center"/>
      <protection hidden="1"/>
    </xf>
    <xf numFmtId="0" fontId="5" fillId="23" borderId="21" xfId="0" applyFont="1" applyFill="1" applyBorder="1" applyAlignment="1" applyProtection="1">
      <alignment horizontal="center" vertical="center"/>
      <protection hidden="1"/>
    </xf>
    <xf numFmtId="0" fontId="5" fillId="23" borderId="23" xfId="0" applyFont="1" applyFill="1" applyBorder="1" applyAlignment="1" applyProtection="1">
      <alignment horizontal="center" vertical="center"/>
      <protection hidden="1"/>
    </xf>
    <xf numFmtId="0" fontId="5" fillId="22" borderId="13" xfId="0" applyFont="1" applyFill="1" applyBorder="1" applyAlignment="1" applyProtection="1">
      <alignment horizontal="center" vertical="center"/>
      <protection hidden="1"/>
    </xf>
    <xf numFmtId="0" fontId="5" fillId="22" borderId="14" xfId="0" applyFont="1" applyFill="1" applyBorder="1" applyAlignment="1" applyProtection="1">
      <alignment horizontal="center" vertical="center"/>
      <protection hidden="1"/>
    </xf>
    <xf numFmtId="0" fontId="5" fillId="22" borderId="15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2" fillId="11" borderId="11" xfId="0" applyFont="1" applyFill="1" applyBorder="1" applyAlignment="1" applyProtection="1">
      <alignment horizontal="center"/>
      <protection hidden="1"/>
    </xf>
    <xf numFmtId="0" fontId="0" fillId="11" borderId="11" xfId="0" applyFill="1" applyBorder="1"/>
    <xf numFmtId="0" fontId="20" fillId="11" borderId="12" xfId="0" applyFont="1" applyFill="1" applyBorder="1" applyAlignment="1" applyProtection="1">
      <alignment horizontal="center"/>
      <protection hidden="1"/>
    </xf>
    <xf numFmtId="177" fontId="5" fillId="18" borderId="21" xfId="0" applyNumberFormat="1" applyFont="1" applyFill="1" applyBorder="1" applyAlignment="1" applyProtection="1">
      <alignment horizontal="center" vertical="center"/>
      <protection hidden="1"/>
    </xf>
    <xf numFmtId="177" fontId="5" fillId="18" borderId="23" xfId="0" applyNumberFormat="1" applyFont="1" applyFill="1" applyBorder="1" applyAlignment="1" applyProtection="1">
      <alignment horizontal="center" vertical="center"/>
      <protection hidden="1"/>
    </xf>
    <xf numFmtId="0" fontId="1" fillId="30" borderId="13" xfId="0" applyFont="1" applyFill="1" applyBorder="1" applyAlignment="1" applyProtection="1">
      <alignment horizontal="center" vertical="justify"/>
      <protection hidden="1"/>
    </xf>
    <xf numFmtId="0" fontId="1" fillId="30" borderId="14" xfId="0" applyFont="1" applyFill="1" applyBorder="1" applyAlignment="1" applyProtection="1">
      <alignment horizontal="center" vertical="justify"/>
      <protection hidden="1"/>
    </xf>
    <xf numFmtId="0" fontId="1" fillId="30" borderId="16" xfId="0" applyFont="1" applyFill="1" applyBorder="1" applyAlignment="1" applyProtection="1">
      <alignment horizontal="center" vertical="justify"/>
      <protection hidden="1"/>
    </xf>
    <xf numFmtId="0" fontId="1" fillId="30" borderId="0" xfId="0" applyFont="1" applyFill="1" applyBorder="1" applyAlignment="1" applyProtection="1">
      <alignment horizontal="center" vertical="justify"/>
      <protection hidden="1"/>
    </xf>
    <xf numFmtId="0" fontId="1" fillId="0" borderId="0" xfId="0" applyFont="1" applyAlignment="1" applyProtection="1">
      <alignment horizontal="center" vertical="justify" textRotation="180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5" fillId="17" borderId="40" xfId="0" applyFont="1" applyFill="1" applyBorder="1" applyAlignment="1" applyProtection="1">
      <alignment horizontal="center" vertical="center"/>
      <protection hidden="1"/>
    </xf>
    <xf numFmtId="1" fontId="1" fillId="11" borderId="11" xfId="0" applyNumberFormat="1" applyFont="1" applyFill="1" applyBorder="1" applyAlignment="1" applyProtection="1">
      <alignment horizontal="center"/>
      <protection hidden="1"/>
    </xf>
    <xf numFmtId="176" fontId="38" fillId="17" borderId="40" xfId="0" applyNumberFormat="1" applyFont="1" applyFill="1" applyBorder="1" applyAlignment="1" applyProtection="1">
      <alignment horizontal="center" vertical="center"/>
      <protection hidden="1"/>
    </xf>
    <xf numFmtId="176" fontId="38" fillId="17" borderId="23" xfId="0" applyNumberFormat="1" applyFont="1" applyFill="1" applyBorder="1" applyAlignment="1" applyProtection="1">
      <alignment horizontal="center" vertical="center"/>
      <protection hidden="1"/>
    </xf>
    <xf numFmtId="2" fontId="34" fillId="17" borderId="40" xfId="0" applyNumberFormat="1" applyFont="1" applyFill="1" applyBorder="1" applyAlignment="1" applyProtection="1">
      <alignment horizontal="center" vertical="center"/>
      <protection hidden="1"/>
    </xf>
    <xf numFmtId="2" fontId="34" fillId="17" borderId="23" xfId="0" applyNumberFormat="1" applyFont="1" applyFill="1" applyBorder="1" applyAlignment="1" applyProtection="1">
      <alignment horizontal="center" vertical="center"/>
      <protection hidden="1"/>
    </xf>
    <xf numFmtId="0" fontId="30" fillId="17" borderId="40" xfId="0" applyFont="1" applyFill="1" applyBorder="1" applyAlignment="1" applyProtection="1">
      <alignment horizontal="center" vertical="center"/>
      <protection hidden="1"/>
    </xf>
    <xf numFmtId="0" fontId="30" fillId="17" borderId="21" xfId="0" applyFont="1" applyFill="1" applyBorder="1" applyAlignment="1" applyProtection="1">
      <alignment horizontal="center" vertical="center"/>
      <protection hidden="1"/>
    </xf>
    <xf numFmtId="0" fontId="30" fillId="17" borderId="23" xfId="0" applyFont="1" applyFill="1" applyBorder="1" applyAlignment="1" applyProtection="1">
      <alignment horizontal="center" vertical="center"/>
      <protection hidden="1"/>
    </xf>
    <xf numFmtId="0" fontId="5" fillId="24" borderId="13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5" fillId="25" borderId="13" xfId="0" applyFont="1" applyFill="1" applyBorder="1" applyAlignment="1" applyProtection="1">
      <alignment horizontal="center" vertical="center"/>
      <protection hidden="1"/>
    </xf>
    <xf numFmtId="0" fontId="5" fillId="25" borderId="14" xfId="0" applyFont="1" applyFill="1" applyBorder="1" applyAlignment="1" applyProtection="1">
      <alignment horizontal="center" vertical="center"/>
      <protection hidden="1"/>
    </xf>
    <xf numFmtId="0" fontId="5" fillId="25" borderId="15" xfId="0" applyFont="1" applyFill="1" applyBorder="1" applyAlignment="1" applyProtection="1">
      <alignment horizontal="center" vertical="center"/>
      <protection hidden="1"/>
    </xf>
    <xf numFmtId="0" fontId="1" fillId="11" borderId="11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17" borderId="41" xfId="0" applyFont="1" applyFill="1" applyBorder="1" applyAlignment="1" applyProtection="1">
      <alignment horizontal="left" vertical="center"/>
      <protection hidden="1"/>
    </xf>
    <xf numFmtId="0" fontId="16" fillId="17" borderId="6" xfId="0" applyFont="1" applyFill="1" applyBorder="1" applyAlignment="1" applyProtection="1">
      <alignment horizontal="left" vertical="center"/>
      <protection hidden="1"/>
    </xf>
    <xf numFmtId="0" fontId="16" fillId="17" borderId="12" xfId="0" applyFont="1" applyFill="1" applyBorder="1" applyAlignment="1" applyProtection="1">
      <alignment horizontal="left" vertical="center"/>
      <protection hidden="1"/>
    </xf>
    <xf numFmtId="0" fontId="16" fillId="17" borderId="75" xfId="0" applyFont="1" applyFill="1" applyBorder="1" applyAlignment="1" applyProtection="1">
      <alignment horizontal="left" vertical="center"/>
      <protection hidden="1"/>
    </xf>
    <xf numFmtId="0" fontId="16" fillId="17" borderId="80" xfId="0" applyFont="1" applyFill="1" applyBorder="1" applyAlignment="1" applyProtection="1">
      <alignment horizontal="left" vertical="center"/>
      <protection hidden="1"/>
    </xf>
    <xf numFmtId="0" fontId="16" fillId="17" borderId="56" xfId="0" applyFont="1" applyFill="1" applyBorder="1" applyAlignment="1" applyProtection="1">
      <alignment horizontal="left" vertical="center"/>
      <protection hidden="1"/>
    </xf>
    <xf numFmtId="0" fontId="16" fillId="17" borderId="74" xfId="0" applyFont="1" applyFill="1" applyBorder="1" applyAlignment="1" applyProtection="1">
      <alignment horizontal="left" vertical="center"/>
      <protection hidden="1"/>
    </xf>
    <xf numFmtId="0" fontId="16" fillId="17" borderId="22" xfId="0" applyFont="1" applyFill="1" applyBorder="1" applyAlignment="1" applyProtection="1">
      <alignment horizontal="left" vertical="center"/>
      <protection hidden="1"/>
    </xf>
    <xf numFmtId="0" fontId="16" fillId="17" borderId="57" xfId="0" applyFont="1" applyFill="1" applyBorder="1" applyAlignment="1" applyProtection="1">
      <alignment horizontal="left" vertical="center"/>
      <protection hidden="1"/>
    </xf>
    <xf numFmtId="0" fontId="5" fillId="17" borderId="51" xfId="0" applyFont="1" applyFill="1" applyBorder="1" applyAlignment="1" applyProtection="1">
      <alignment horizontal="center"/>
      <protection hidden="1"/>
    </xf>
    <xf numFmtId="0" fontId="5" fillId="17" borderId="11" xfId="0" applyFont="1" applyFill="1" applyBorder="1" applyAlignment="1" applyProtection="1">
      <alignment horizontal="center"/>
      <protection hidden="1"/>
    </xf>
    <xf numFmtId="171" fontId="14" fillId="16" borderId="11" xfId="0" applyNumberFormat="1" applyFont="1" applyFill="1" applyBorder="1" applyAlignment="1" applyProtection="1">
      <alignment horizontal="left" vertical="center"/>
      <protection locked="0"/>
    </xf>
    <xf numFmtId="171" fontId="14" fillId="16" borderId="35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center"/>
      <protection hidden="1"/>
    </xf>
    <xf numFmtId="14" fontId="62" fillId="0" borderId="16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16" borderId="55" xfId="0" applyFont="1" applyFill="1" applyBorder="1" applyAlignment="1" applyProtection="1">
      <alignment horizontal="center"/>
      <protection locked="0"/>
    </xf>
    <xf numFmtId="0" fontId="5" fillId="16" borderId="80" xfId="0" applyFont="1" applyFill="1" applyBorder="1" applyAlignment="1" applyProtection="1">
      <alignment horizontal="center"/>
      <protection locked="0"/>
    </xf>
    <xf numFmtId="0" fontId="5" fillId="16" borderId="64" xfId="0" applyFont="1" applyFill="1" applyBorder="1" applyAlignment="1" applyProtection="1">
      <alignment horizontal="center"/>
      <protection locked="0"/>
    </xf>
    <xf numFmtId="171" fontId="62" fillId="0" borderId="16" xfId="0" applyNumberFormat="1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1" fontId="0" fillId="0" borderId="17" xfId="0" applyNumberFormat="1" applyFill="1" applyBorder="1" applyAlignment="1">
      <alignment horizontal="center" vertical="center"/>
    </xf>
    <xf numFmtId="171" fontId="0" fillId="0" borderId="18" xfId="0" applyNumberFormat="1" applyFill="1" applyBorder="1" applyAlignment="1">
      <alignment horizontal="center" vertical="center"/>
    </xf>
    <xf numFmtId="171" fontId="0" fillId="0" borderId="19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0" fontId="5" fillId="16" borderId="11" xfId="0" applyFont="1" applyFill="1" applyBorder="1" applyAlignment="1" applyProtection="1">
      <alignment horizontal="center" vertical="center"/>
      <protection locked="0"/>
    </xf>
    <xf numFmtId="0" fontId="5" fillId="16" borderId="35" xfId="0" applyFont="1" applyFill="1" applyBorder="1" applyAlignment="1" applyProtection="1">
      <alignment horizontal="center" vertical="center"/>
      <protection locked="0"/>
    </xf>
    <xf numFmtId="0" fontId="125" fillId="17" borderId="40" xfId="0" applyFont="1" applyFill="1" applyBorder="1" applyAlignment="1" applyProtection="1">
      <alignment horizontal="center" vertical="center"/>
      <protection hidden="1"/>
    </xf>
    <xf numFmtId="0" fontId="125" fillId="17" borderId="21" xfId="0" applyFont="1" applyFill="1" applyBorder="1" applyAlignment="1" applyProtection="1">
      <alignment horizontal="center" vertical="center"/>
      <protection hidden="1"/>
    </xf>
    <xf numFmtId="0" fontId="125" fillId="17" borderId="23" xfId="0" applyFont="1" applyFill="1" applyBorder="1" applyAlignment="1" applyProtection="1">
      <alignment horizontal="center" vertical="center"/>
      <protection hidden="1"/>
    </xf>
    <xf numFmtId="0" fontId="5" fillId="16" borderId="11" xfId="0" applyFont="1" applyFill="1" applyBorder="1" applyAlignment="1" applyProtection="1">
      <alignment horizontal="left" vertical="center"/>
      <protection locked="0"/>
    </xf>
    <xf numFmtId="0" fontId="5" fillId="16" borderId="35" xfId="0" applyFont="1" applyFill="1" applyBorder="1" applyAlignment="1" applyProtection="1">
      <alignment horizontal="left" vertical="center"/>
      <protection locked="0"/>
    </xf>
    <xf numFmtId="14" fontId="62" fillId="0" borderId="18" xfId="0" applyNumberFormat="1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5" fillId="16" borderId="48" xfId="0" applyFont="1" applyFill="1" applyBorder="1" applyAlignment="1" applyProtection="1">
      <alignment horizontal="left" vertical="center"/>
      <protection locked="0"/>
    </xf>
    <xf numFmtId="0" fontId="5" fillId="16" borderId="4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6" fillId="17" borderId="82" xfId="0" applyFont="1" applyFill="1" applyBorder="1" applyAlignment="1" applyProtection="1">
      <alignment horizontal="left" vertical="center"/>
      <protection hidden="1"/>
    </xf>
    <xf numFmtId="0" fontId="16" fillId="17" borderId="3" xfId="0" applyFont="1" applyFill="1" applyBorder="1" applyAlignment="1" applyProtection="1">
      <alignment horizontal="left" vertical="center"/>
      <protection hidden="1"/>
    </xf>
    <xf numFmtId="0" fontId="1" fillId="14" borderId="0" xfId="0" applyFont="1" applyFill="1" applyAlignment="1" applyProtection="1">
      <alignment horizontal="center"/>
      <protection hidden="1"/>
    </xf>
    <xf numFmtId="0" fontId="126" fillId="17" borderId="16" xfId="2" applyFont="1" applyFill="1" applyBorder="1" applyAlignment="1" applyProtection="1">
      <alignment horizontal="center" vertical="justify"/>
    </xf>
    <xf numFmtId="0" fontId="126" fillId="17" borderId="0" xfId="2" applyFont="1" applyFill="1" applyBorder="1" applyAlignment="1" applyProtection="1">
      <alignment horizontal="center" vertical="justify"/>
    </xf>
    <xf numFmtId="0" fontId="126" fillId="17" borderId="17" xfId="2" applyFont="1" applyFill="1" applyBorder="1" applyAlignment="1" applyProtection="1">
      <alignment horizontal="center" vertical="justify"/>
    </xf>
    <xf numFmtId="0" fontId="126" fillId="17" borderId="18" xfId="2" applyFont="1" applyFill="1" applyBorder="1" applyAlignment="1" applyProtection="1">
      <alignment horizontal="center" vertical="justify"/>
    </xf>
    <xf numFmtId="0" fontId="126" fillId="17" borderId="19" xfId="2" applyFont="1" applyFill="1" applyBorder="1" applyAlignment="1" applyProtection="1">
      <alignment horizontal="center" vertical="justify"/>
    </xf>
    <xf numFmtId="0" fontId="126" fillId="17" borderId="20" xfId="2" applyFont="1" applyFill="1" applyBorder="1" applyAlignment="1" applyProtection="1">
      <alignment horizontal="center" vertical="justify"/>
    </xf>
    <xf numFmtId="0" fontId="16" fillId="17" borderId="81" xfId="0" applyFont="1" applyFill="1" applyBorder="1" applyAlignment="1" applyProtection="1">
      <alignment horizontal="left" vertical="center"/>
      <protection hidden="1"/>
    </xf>
    <xf numFmtId="0" fontId="16" fillId="17" borderId="5" xfId="0" applyFont="1" applyFill="1" applyBorder="1" applyAlignment="1" applyProtection="1">
      <alignment horizontal="left" vertical="center"/>
      <protection hidden="1"/>
    </xf>
    <xf numFmtId="0" fontId="5" fillId="22" borderId="40" xfId="0" applyFont="1" applyFill="1" applyBorder="1" applyAlignment="1" applyProtection="1">
      <alignment horizontal="center" vertical="center"/>
      <protection hidden="1"/>
    </xf>
    <xf numFmtId="0" fontId="5" fillId="22" borderId="21" xfId="0" applyFont="1" applyFill="1" applyBorder="1" applyAlignment="1" applyProtection="1">
      <alignment horizontal="center" vertical="center"/>
      <protection hidden="1"/>
    </xf>
    <xf numFmtId="0" fontId="5" fillId="22" borderId="23" xfId="0" applyFont="1" applyFill="1" applyBorder="1" applyAlignment="1" applyProtection="1">
      <alignment horizontal="center" vertical="center"/>
      <protection hidden="1"/>
    </xf>
    <xf numFmtId="0" fontId="16" fillId="17" borderId="8" xfId="0" applyFont="1" applyFill="1" applyBorder="1" applyAlignment="1" applyProtection="1">
      <alignment horizontal="left" vertical="center"/>
      <protection hidden="1"/>
    </xf>
    <xf numFmtId="0" fontId="16" fillId="17" borderId="16" xfId="0" applyFont="1" applyFill="1" applyBorder="1" applyAlignment="1" applyProtection="1">
      <alignment horizontal="left" vertical="center"/>
      <protection hidden="1"/>
    </xf>
    <xf numFmtId="0" fontId="16" fillId="17" borderId="0" xfId="0" applyFont="1" applyFill="1" applyBorder="1" applyAlignment="1" applyProtection="1">
      <alignment horizontal="left" vertical="center"/>
      <protection hidden="1"/>
    </xf>
    <xf numFmtId="0" fontId="16" fillId="17" borderId="10" xfId="0" applyFont="1" applyFill="1" applyBorder="1" applyAlignment="1" applyProtection="1">
      <alignment horizontal="left" vertical="center"/>
      <protection hidden="1"/>
    </xf>
    <xf numFmtId="0" fontId="16" fillId="17" borderId="9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9" fontId="5" fillId="16" borderId="11" xfId="0" applyNumberFormat="1" applyFont="1" applyFill="1" applyBorder="1" applyAlignment="1" applyProtection="1">
      <alignment horizontal="left" vertical="center"/>
      <protection locked="0"/>
    </xf>
    <xf numFmtId="0" fontId="5" fillId="16" borderId="11" xfId="0" applyFont="1" applyFill="1" applyBorder="1" applyAlignment="1" applyProtection="1">
      <alignment horizontal="left" vertical="justify"/>
      <protection locked="0"/>
    </xf>
    <xf numFmtId="0" fontId="5" fillId="16" borderId="35" xfId="0" applyFont="1" applyFill="1" applyBorder="1" applyAlignment="1" applyProtection="1">
      <alignment horizontal="left" vertical="justify"/>
      <protection locked="0"/>
    </xf>
    <xf numFmtId="0" fontId="5" fillId="16" borderId="43" xfId="0" applyFont="1" applyFill="1" applyBorder="1" applyAlignment="1" applyProtection="1">
      <alignment horizontal="center"/>
      <protection locked="0"/>
    </xf>
    <xf numFmtId="0" fontId="5" fillId="16" borderId="22" xfId="0" applyFont="1" applyFill="1" applyBorder="1" applyAlignment="1" applyProtection="1">
      <alignment horizontal="center"/>
      <protection locked="0"/>
    </xf>
    <xf numFmtId="0" fontId="5" fillId="16" borderId="44" xfId="0" applyFont="1" applyFill="1" applyBorder="1" applyAlignment="1" applyProtection="1">
      <alignment horizontal="center"/>
      <protection locked="0"/>
    </xf>
    <xf numFmtId="0" fontId="5" fillId="17" borderId="52" xfId="0" applyFont="1" applyFill="1" applyBorder="1" applyAlignment="1" applyProtection="1">
      <alignment horizontal="center" vertical="center"/>
      <protection hidden="1"/>
    </xf>
    <xf numFmtId="0" fontId="5" fillId="17" borderId="67" xfId="0" applyFont="1" applyFill="1" applyBorder="1" applyAlignment="1" applyProtection="1">
      <alignment horizontal="center" vertical="center"/>
      <protection hidden="1"/>
    </xf>
    <xf numFmtId="0" fontId="16" fillId="17" borderId="40" xfId="0" applyFont="1" applyFill="1" applyBorder="1" applyAlignment="1" applyProtection="1">
      <alignment horizontal="center" vertical="center"/>
      <protection hidden="1"/>
    </xf>
    <xf numFmtId="0" fontId="16" fillId="17" borderId="21" xfId="0" applyFont="1" applyFill="1" applyBorder="1" applyAlignment="1" applyProtection="1">
      <alignment horizontal="center" vertical="center"/>
      <protection hidden="1"/>
    </xf>
    <xf numFmtId="0" fontId="5" fillId="17" borderId="16" xfId="0" applyFont="1" applyFill="1" applyBorder="1" applyAlignment="1" applyProtection="1">
      <alignment horizontal="center"/>
      <protection hidden="1"/>
    </xf>
    <xf numFmtId="0" fontId="5" fillId="17" borderId="0" xfId="0" applyFont="1" applyFill="1" applyBorder="1" applyAlignment="1" applyProtection="1">
      <alignment horizontal="center"/>
      <protection hidden="1"/>
    </xf>
    <xf numFmtId="0" fontId="5" fillId="17" borderId="10" xfId="0" applyFont="1" applyFill="1" applyBorder="1" applyAlignment="1" applyProtection="1">
      <alignment horizontal="center"/>
      <protection hidden="1"/>
    </xf>
    <xf numFmtId="0" fontId="50" fillId="17" borderId="13" xfId="2" applyFont="1" applyFill="1" applyBorder="1" applyAlignment="1" applyProtection="1">
      <alignment horizontal="center" vertical="justify"/>
    </xf>
    <xf numFmtId="0" fontId="50" fillId="17" borderId="14" xfId="2" applyFont="1" applyFill="1" applyBorder="1" applyAlignment="1" applyProtection="1">
      <alignment horizontal="center" vertical="justify"/>
    </xf>
    <xf numFmtId="0" fontId="50" fillId="17" borderId="15" xfId="2" applyFont="1" applyFill="1" applyBorder="1" applyAlignment="1" applyProtection="1">
      <alignment horizontal="center" vertical="justify"/>
    </xf>
    <xf numFmtId="0" fontId="50" fillId="17" borderId="16" xfId="2" applyFont="1" applyFill="1" applyBorder="1" applyAlignment="1" applyProtection="1">
      <alignment horizontal="center" vertical="justify"/>
    </xf>
    <xf numFmtId="0" fontId="50" fillId="17" borderId="0" xfId="2" applyFont="1" applyFill="1" applyBorder="1" applyAlignment="1" applyProtection="1">
      <alignment horizontal="center" vertical="justify"/>
    </xf>
    <xf numFmtId="0" fontId="50" fillId="17" borderId="17" xfId="2" applyFont="1" applyFill="1" applyBorder="1" applyAlignment="1" applyProtection="1">
      <alignment horizontal="center" vertical="justify"/>
    </xf>
    <xf numFmtId="0" fontId="50" fillId="17" borderId="18" xfId="2" applyFont="1" applyFill="1" applyBorder="1" applyAlignment="1" applyProtection="1">
      <alignment horizontal="center" vertical="justify"/>
    </xf>
    <xf numFmtId="0" fontId="50" fillId="17" borderId="19" xfId="2" applyFont="1" applyFill="1" applyBorder="1" applyAlignment="1" applyProtection="1">
      <alignment horizontal="center" vertical="justify"/>
    </xf>
    <xf numFmtId="0" fontId="50" fillId="17" borderId="20" xfId="2" applyFont="1" applyFill="1" applyBorder="1" applyAlignment="1" applyProtection="1">
      <alignment horizontal="center" vertical="justify"/>
    </xf>
    <xf numFmtId="0" fontId="5" fillId="17" borderId="51" xfId="0" applyFont="1" applyFill="1" applyBorder="1" applyAlignment="1" applyProtection="1">
      <alignment horizontal="center" vertical="center"/>
      <protection hidden="1"/>
    </xf>
    <xf numFmtId="0" fontId="5" fillId="17" borderId="11" xfId="0" applyFont="1" applyFill="1" applyBorder="1" applyAlignment="1" applyProtection="1">
      <alignment horizontal="center" vertical="center"/>
      <protection hidden="1"/>
    </xf>
    <xf numFmtId="0" fontId="5" fillId="17" borderId="79" xfId="0" applyFont="1" applyFill="1" applyBorder="1" applyAlignment="1" applyProtection="1">
      <alignment horizontal="center"/>
      <protection hidden="1"/>
    </xf>
    <xf numFmtId="0" fontId="5" fillId="17" borderId="66" xfId="0" applyFont="1" applyFill="1" applyBorder="1" applyAlignment="1" applyProtection="1">
      <alignment horizontal="center"/>
      <protection hidden="1"/>
    </xf>
    <xf numFmtId="0" fontId="14" fillId="17" borderId="40" xfId="0" applyFont="1" applyFill="1" applyBorder="1" applyAlignment="1" applyProtection="1">
      <alignment horizontal="center" vertical="center"/>
      <protection hidden="1"/>
    </xf>
    <xf numFmtId="0" fontId="14" fillId="17" borderId="21" xfId="0" applyFont="1" applyFill="1" applyBorder="1" applyAlignment="1" applyProtection="1">
      <alignment horizontal="center" vertical="center"/>
      <protection hidden="1"/>
    </xf>
    <xf numFmtId="0" fontId="14" fillId="17" borderId="23" xfId="0" applyFont="1" applyFill="1" applyBorder="1" applyAlignment="1" applyProtection="1">
      <alignment horizontal="center" vertical="center"/>
      <protection hidden="1"/>
    </xf>
    <xf numFmtId="0" fontId="5" fillId="17" borderId="79" xfId="0" applyFont="1" applyFill="1" applyBorder="1" applyAlignment="1" applyProtection="1">
      <alignment horizontal="center" vertical="center"/>
      <protection hidden="1"/>
    </xf>
    <xf numFmtId="0" fontId="5" fillId="17" borderId="66" xfId="0" applyFont="1" applyFill="1" applyBorder="1" applyAlignment="1" applyProtection="1">
      <alignment horizontal="center" vertical="center"/>
      <protection hidden="1"/>
    </xf>
    <xf numFmtId="14" fontId="5" fillId="16" borderId="11" xfId="0" applyNumberFormat="1" applyFont="1" applyFill="1" applyBorder="1" applyAlignment="1" applyProtection="1">
      <alignment horizontal="left" vertical="center"/>
      <protection locked="0"/>
    </xf>
    <xf numFmtId="14" fontId="5" fillId="16" borderId="35" xfId="0" applyNumberFormat="1" applyFont="1" applyFill="1" applyBorder="1" applyAlignment="1" applyProtection="1">
      <alignment horizontal="left" vertical="center"/>
      <protection locked="0"/>
    </xf>
    <xf numFmtId="171" fontId="127" fillId="17" borderId="13" xfId="2" applyNumberFormat="1" applyFont="1" applyFill="1" applyBorder="1" applyAlignment="1">
      <alignment horizontal="center" vertical="center"/>
    </xf>
    <xf numFmtId="171" fontId="127" fillId="17" borderId="14" xfId="2" applyNumberFormat="1" applyFont="1" applyFill="1" applyBorder="1" applyAlignment="1">
      <alignment horizontal="center" vertical="center"/>
    </xf>
    <xf numFmtId="171" fontId="127" fillId="17" borderId="15" xfId="2" applyNumberFormat="1" applyFont="1" applyFill="1" applyBorder="1" applyAlignment="1">
      <alignment horizontal="center" vertical="center"/>
    </xf>
    <xf numFmtId="171" fontId="127" fillId="17" borderId="18" xfId="2" applyNumberFormat="1" applyFont="1" applyFill="1" applyBorder="1" applyAlignment="1">
      <alignment horizontal="center" vertical="center"/>
    </xf>
    <xf numFmtId="171" fontId="127" fillId="17" borderId="19" xfId="2" applyNumberFormat="1" applyFont="1" applyFill="1" applyBorder="1" applyAlignment="1">
      <alignment horizontal="center" vertical="center"/>
    </xf>
    <xf numFmtId="171" fontId="127" fillId="17" borderId="20" xfId="2" applyNumberFormat="1" applyFont="1" applyFill="1" applyBorder="1" applyAlignment="1">
      <alignment horizontal="center" vertical="center"/>
    </xf>
    <xf numFmtId="0" fontId="5" fillId="17" borderId="52" xfId="0" applyFont="1" applyFill="1" applyBorder="1" applyAlignment="1" applyProtection="1">
      <alignment horizontal="center"/>
      <protection hidden="1"/>
    </xf>
    <xf numFmtId="0" fontId="5" fillId="17" borderId="67" xfId="0" applyFont="1" applyFill="1" applyBorder="1" applyAlignment="1" applyProtection="1">
      <alignment horizontal="center"/>
      <protection hidden="1"/>
    </xf>
    <xf numFmtId="0" fontId="16" fillId="22" borderId="40" xfId="0" applyFont="1" applyFill="1" applyBorder="1" applyAlignment="1" applyProtection="1">
      <alignment horizontal="center" vertical="center"/>
      <protection hidden="1"/>
    </xf>
    <xf numFmtId="0" fontId="16" fillId="22" borderId="21" xfId="0" applyFont="1" applyFill="1" applyBorder="1" applyAlignment="1" applyProtection="1">
      <alignment horizontal="center" vertical="center"/>
      <protection hidden="1"/>
    </xf>
    <xf numFmtId="0" fontId="16" fillId="22" borderId="23" xfId="0" applyFont="1" applyFill="1" applyBorder="1" applyAlignment="1" applyProtection="1">
      <alignment horizontal="center" vertical="center"/>
      <protection hidden="1"/>
    </xf>
    <xf numFmtId="0" fontId="1" fillId="15" borderId="14" xfId="0" applyFont="1" applyFill="1" applyBorder="1" applyAlignment="1" applyProtection="1">
      <alignment horizontal="center"/>
      <protection hidden="1"/>
    </xf>
    <xf numFmtId="0" fontId="5" fillId="16" borderId="11" xfId="0" applyNumberFormat="1" applyFont="1" applyFill="1" applyBorder="1" applyAlignment="1" applyProtection="1">
      <alignment horizontal="left" vertical="center"/>
      <protection locked="0"/>
    </xf>
    <xf numFmtId="0" fontId="5" fillId="16" borderId="35" xfId="0" applyNumberFormat="1" applyFont="1" applyFill="1" applyBorder="1" applyAlignment="1" applyProtection="1">
      <alignment horizontal="left" vertical="center"/>
      <protection locked="0"/>
    </xf>
    <xf numFmtId="0" fontId="1" fillId="15" borderId="19" xfId="0" applyFont="1" applyFill="1" applyBorder="1" applyAlignment="1" applyProtection="1">
      <alignment horizontal="center"/>
      <protection hidden="1"/>
    </xf>
    <xf numFmtId="0" fontId="5" fillId="16" borderId="40" xfId="0" applyFont="1" applyFill="1" applyBorder="1" applyAlignment="1" applyProtection="1">
      <alignment horizontal="center" vertical="center"/>
      <protection locked="0"/>
    </xf>
    <xf numFmtId="0" fontId="5" fillId="16" borderId="21" xfId="0" applyFont="1" applyFill="1" applyBorder="1" applyAlignment="1" applyProtection="1">
      <alignment horizontal="center" vertical="center"/>
      <protection locked="0"/>
    </xf>
    <xf numFmtId="0" fontId="5" fillId="16" borderId="76" xfId="0" applyFont="1" applyFill="1" applyBorder="1" applyAlignment="1" applyProtection="1">
      <alignment horizontal="center" vertical="center"/>
      <protection locked="0"/>
    </xf>
    <xf numFmtId="171" fontId="4" fillId="16" borderId="40" xfId="0" applyNumberFormat="1" applyFont="1" applyFill="1" applyBorder="1" applyAlignment="1" applyProtection="1">
      <alignment horizontal="center" vertical="center"/>
      <protection locked="0" hidden="1"/>
    </xf>
    <xf numFmtId="171" fontId="4" fillId="16" borderId="21" xfId="0" applyNumberFormat="1" applyFont="1" applyFill="1" applyBorder="1" applyAlignment="1" applyProtection="1">
      <alignment horizontal="center" vertical="center"/>
      <protection locked="0" hidden="1"/>
    </xf>
    <xf numFmtId="171" fontId="4" fillId="16" borderId="23" xfId="0" applyNumberFormat="1" applyFont="1" applyFill="1" applyBorder="1" applyAlignment="1" applyProtection="1">
      <alignment horizontal="center" vertical="center"/>
      <protection locked="0" hidden="1"/>
    </xf>
    <xf numFmtId="0" fontId="108" fillId="16" borderId="40" xfId="0" applyFont="1" applyFill="1" applyBorder="1" applyAlignment="1" applyProtection="1">
      <alignment horizontal="left" vertical="center"/>
      <protection locked="0"/>
    </xf>
    <xf numFmtId="0" fontId="108" fillId="16" borderId="21" xfId="0" applyFont="1" applyFill="1" applyBorder="1" applyAlignment="1" applyProtection="1">
      <alignment horizontal="left" vertical="center"/>
      <protection locked="0"/>
    </xf>
    <xf numFmtId="0" fontId="108" fillId="16" borderId="23" xfId="0" applyFont="1" applyFill="1" applyBorder="1" applyAlignment="1" applyProtection="1">
      <alignment horizontal="left" vertical="center"/>
      <protection locked="0"/>
    </xf>
    <xf numFmtId="1" fontId="34" fillId="17" borderId="40" xfId="0" applyNumberFormat="1" applyFont="1" applyFill="1" applyBorder="1" applyAlignment="1" applyProtection="1">
      <alignment horizontal="center" vertical="center"/>
      <protection hidden="1"/>
    </xf>
    <xf numFmtId="1" fontId="34" fillId="17" borderId="23" xfId="0" applyNumberFormat="1" applyFont="1" applyFill="1" applyBorder="1" applyAlignment="1" applyProtection="1">
      <alignment horizontal="center" vertical="center"/>
      <protection hidden="1"/>
    </xf>
    <xf numFmtId="0" fontId="25" fillId="17" borderId="21" xfId="0" applyFont="1" applyFill="1" applyBorder="1" applyAlignment="1" applyProtection="1">
      <alignment horizontal="center" vertical="center"/>
      <protection hidden="1"/>
    </xf>
    <xf numFmtId="0" fontId="25" fillId="17" borderId="23" xfId="0" applyFont="1" applyFill="1" applyBorder="1" applyAlignment="1" applyProtection="1">
      <alignment horizontal="center" vertical="center"/>
      <protection hidden="1"/>
    </xf>
    <xf numFmtId="0" fontId="44" fillId="17" borderId="40" xfId="0" applyFont="1" applyFill="1" applyBorder="1" applyAlignment="1" applyProtection="1">
      <alignment horizontal="center" vertical="center"/>
      <protection hidden="1"/>
    </xf>
    <xf numFmtId="0" fontId="44" fillId="17" borderId="23" xfId="0" applyFont="1" applyFill="1" applyBorder="1" applyAlignment="1" applyProtection="1">
      <alignment horizontal="center" vertical="center"/>
      <protection hidden="1"/>
    </xf>
    <xf numFmtId="0" fontId="25" fillId="15" borderId="0" xfId="0" applyFont="1" applyFill="1" applyBorder="1" applyAlignment="1" applyProtection="1">
      <alignment horizontal="center" vertical="center"/>
      <protection hidden="1"/>
    </xf>
    <xf numFmtId="175" fontId="5" fillId="17" borderId="47" xfId="0" applyNumberFormat="1" applyFont="1" applyFill="1" applyBorder="1" applyAlignment="1" applyProtection="1">
      <alignment horizontal="center" vertical="center"/>
      <protection locked="0"/>
    </xf>
    <xf numFmtId="175" fontId="5" fillId="17" borderId="70" xfId="0" applyNumberFormat="1" applyFont="1" applyFill="1" applyBorder="1" applyAlignment="1" applyProtection="1">
      <alignment horizontal="center" vertical="center"/>
      <protection locked="0"/>
    </xf>
    <xf numFmtId="177" fontId="48" fillId="31" borderId="40" xfId="0" applyNumberFormat="1" applyFont="1" applyFill="1" applyBorder="1" applyAlignment="1" applyProtection="1">
      <alignment horizontal="center" vertical="center"/>
      <protection hidden="1"/>
    </xf>
    <xf numFmtId="177" fontId="48" fillId="31" borderId="21" xfId="0" applyNumberFormat="1" applyFont="1" applyFill="1" applyBorder="1" applyAlignment="1" applyProtection="1">
      <alignment horizontal="center" vertical="center"/>
      <protection hidden="1"/>
    </xf>
    <xf numFmtId="177" fontId="48" fillId="31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1" fillId="0" borderId="78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5" fillId="15" borderId="21" xfId="0" applyFont="1" applyFill="1" applyBorder="1" applyAlignment="1" applyProtection="1">
      <alignment horizontal="center" vertical="justify"/>
      <protection locked="0"/>
    </xf>
    <xf numFmtId="168" fontId="38" fillId="12" borderId="71" xfId="0" applyNumberFormat="1" applyFont="1" applyFill="1" applyBorder="1" applyAlignment="1" applyProtection="1">
      <alignment horizontal="center" vertical="center"/>
      <protection hidden="1"/>
    </xf>
    <xf numFmtId="168" fontId="38" fillId="12" borderId="34" xfId="0" applyNumberFormat="1" applyFont="1" applyFill="1" applyBorder="1" applyAlignment="1" applyProtection="1">
      <alignment horizontal="center" vertical="center"/>
      <protection hidden="1"/>
    </xf>
    <xf numFmtId="177" fontId="5" fillId="18" borderId="40" xfId="0" applyNumberFormat="1" applyFont="1" applyFill="1" applyBorder="1" applyAlignment="1" applyProtection="1">
      <alignment horizontal="center" vertical="center"/>
      <protection hidden="1"/>
    </xf>
    <xf numFmtId="0" fontId="2" fillId="14" borderId="40" xfId="0" applyFont="1" applyFill="1" applyBorder="1" applyAlignment="1" applyProtection="1">
      <alignment horizontal="center"/>
      <protection hidden="1"/>
    </xf>
    <xf numFmtId="0" fontId="2" fillId="14" borderId="23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75" xfId="0" applyFont="1" applyFill="1" applyBorder="1" applyAlignment="1" applyProtection="1">
      <alignment horizontal="center"/>
      <protection hidden="1"/>
    </xf>
    <xf numFmtId="0" fontId="2" fillId="4" borderId="56" xfId="0" applyFont="1" applyFill="1" applyBorder="1" applyAlignment="1" applyProtection="1">
      <alignment horizontal="center"/>
      <protection hidden="1"/>
    </xf>
    <xf numFmtId="0" fontId="109" fillId="17" borderId="40" xfId="0" applyFont="1" applyFill="1" applyBorder="1" applyAlignment="1" applyProtection="1">
      <alignment horizontal="center" vertical="center"/>
      <protection hidden="1"/>
    </xf>
    <xf numFmtId="0" fontId="109" fillId="17" borderId="21" xfId="0" applyFont="1" applyFill="1" applyBorder="1" applyAlignment="1" applyProtection="1">
      <alignment horizontal="center" vertical="center"/>
      <protection hidden="1"/>
    </xf>
    <xf numFmtId="0" fontId="109" fillId="17" borderId="23" xfId="0" applyFont="1" applyFill="1" applyBorder="1" applyAlignment="1" applyProtection="1">
      <alignment horizontal="center" vertical="center"/>
      <protection hidden="1"/>
    </xf>
    <xf numFmtId="177" fontId="5" fillId="14" borderId="40" xfId="0" applyNumberFormat="1" applyFont="1" applyFill="1" applyBorder="1" applyAlignment="1" applyProtection="1">
      <alignment horizontal="center" vertical="center"/>
      <protection hidden="1"/>
    </xf>
    <xf numFmtId="177" fontId="5" fillId="14" borderId="23" xfId="0" applyNumberFormat="1" applyFont="1" applyFill="1" applyBorder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72" fontId="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29" fillId="0" borderId="13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29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justify" vertical="top"/>
      <protection hidden="1"/>
    </xf>
    <xf numFmtId="0" fontId="2" fillId="0" borderId="0" xfId="0" applyFont="1" applyBorder="1" applyAlignment="1" applyProtection="1">
      <alignment horizontal="justify" vertical="top"/>
      <protection hidden="1"/>
    </xf>
    <xf numFmtId="0" fontId="2" fillId="0" borderId="17" xfId="0" applyFont="1" applyBorder="1" applyAlignment="1" applyProtection="1">
      <alignment horizontal="justify" vertical="top"/>
      <protection hidden="1"/>
    </xf>
    <xf numFmtId="0" fontId="2" fillId="0" borderId="18" xfId="0" applyFont="1" applyBorder="1" applyAlignment="1" applyProtection="1">
      <alignment horizontal="justify" vertical="top"/>
      <protection hidden="1"/>
    </xf>
    <xf numFmtId="0" fontId="2" fillId="0" borderId="19" xfId="0" applyFont="1" applyBorder="1" applyAlignment="1" applyProtection="1">
      <alignment horizontal="justify" vertical="top"/>
      <protection hidden="1"/>
    </xf>
    <xf numFmtId="0" fontId="2" fillId="0" borderId="20" xfId="0" applyFont="1" applyBorder="1" applyAlignment="1" applyProtection="1">
      <alignment horizontal="justify" vertical="top"/>
      <protection hidden="1"/>
    </xf>
    <xf numFmtId="0" fontId="7" fillId="0" borderId="0" xfId="0" applyFont="1" applyAlignment="1">
      <alignment horizontal="left" vertical="justify"/>
    </xf>
    <xf numFmtId="0" fontId="50" fillId="0" borderId="0" xfId="0" applyFont="1" applyAlignment="1" applyProtection="1">
      <alignment horizontal="left" vertical="justify"/>
    </xf>
    <xf numFmtId="0" fontId="1" fillId="0" borderId="0" xfId="0" applyFont="1" applyAlignment="1">
      <alignment horizontal="left" vertical="justify"/>
    </xf>
    <xf numFmtId="0" fontId="32" fillId="0" borderId="0" xfId="0" applyFont="1" applyAlignment="1">
      <alignment horizontal="left" vertical="justify"/>
    </xf>
    <xf numFmtId="0" fontId="5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2" fillId="0" borderId="0" xfId="0" applyNumberFormat="1" applyFont="1" applyAlignment="1">
      <alignment horizontal="left" vertical="justify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7" fontId="4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28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4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73" fontId="29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justify"/>
      <protection hidden="1"/>
    </xf>
    <xf numFmtId="0" fontId="4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0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justify"/>
      <protection hidden="1"/>
    </xf>
    <xf numFmtId="176" fontId="5" fillId="0" borderId="0" xfId="0" applyNumberFormat="1" applyFont="1" applyFill="1" applyAlignment="1" applyProtection="1">
      <alignment horizontal="center" vertical="center"/>
      <protection hidden="1"/>
    </xf>
    <xf numFmtId="49" fontId="31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/>
      <protection locked="0"/>
    </xf>
    <xf numFmtId="166" fontId="14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166" fontId="7" fillId="0" borderId="0" xfId="0" applyNumberFormat="1" applyFont="1" applyAlignment="1" applyProtection="1">
      <alignment horizontal="center"/>
      <protection hidden="1"/>
    </xf>
    <xf numFmtId="166" fontId="7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67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justify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19" borderId="0" xfId="0" applyFill="1" applyAlignment="1">
      <alignment horizontal="center"/>
    </xf>
    <xf numFmtId="1" fontId="49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2" fontId="14" fillId="0" borderId="11" xfId="0" applyNumberFormat="1" applyFont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right"/>
      <protection hidden="1"/>
    </xf>
    <xf numFmtId="2" fontId="49" fillId="0" borderId="11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75" fontId="5" fillId="0" borderId="11" xfId="0" applyNumberFormat="1" applyFont="1" applyFill="1" applyBorder="1" applyAlignment="1" applyProtection="1">
      <alignment horizontal="center" vertical="center"/>
      <protection locked="0"/>
    </xf>
    <xf numFmtId="175" fontId="5" fillId="0" borderId="35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right"/>
      <protection hidden="1"/>
    </xf>
    <xf numFmtId="166" fontId="5" fillId="0" borderId="0" xfId="0" applyNumberFormat="1" applyFont="1" applyAlignment="1" applyProtection="1">
      <alignment horizontal="center"/>
      <protection hidden="1"/>
    </xf>
    <xf numFmtId="165" fontId="46" fillId="0" borderId="0" xfId="0" applyNumberFormat="1" applyFont="1" applyBorder="1" applyAlignment="1" applyProtection="1">
      <alignment horizontal="left"/>
      <protection hidden="1"/>
    </xf>
    <xf numFmtId="0" fontId="47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7" fillId="19" borderId="0" xfId="0" applyFont="1" applyFill="1" applyAlignment="1" applyProtection="1">
      <alignment horizontal="center"/>
      <protection hidden="1"/>
    </xf>
    <xf numFmtId="0" fontId="48" fillId="0" borderId="40" xfId="0" applyNumberFormat="1" applyFont="1" applyBorder="1" applyAlignment="1" applyProtection="1">
      <alignment horizontal="center" vertical="center"/>
      <protection hidden="1"/>
    </xf>
    <xf numFmtId="0" fontId="48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70" fillId="0" borderId="21" xfId="0" applyFont="1" applyBorder="1" applyAlignment="1" applyProtection="1">
      <alignment horizontal="center" vertical="center"/>
      <protection hidden="1"/>
    </xf>
    <xf numFmtId="164" fontId="49" fillId="0" borderId="11" xfId="0" applyNumberFormat="1" applyFont="1" applyBorder="1" applyAlignment="1" applyProtection="1">
      <alignment horizontal="center"/>
      <protection hidden="1"/>
    </xf>
    <xf numFmtId="1" fontId="14" fillId="0" borderId="7" xfId="0" applyNumberFormat="1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167" fontId="29" fillId="0" borderId="11" xfId="0" applyNumberFormat="1" applyFont="1" applyBorder="1" applyAlignment="1" applyProtection="1">
      <alignment horizontal="center" vertical="center"/>
      <protection hidden="1"/>
    </xf>
    <xf numFmtId="167" fontId="29" fillId="0" borderId="7" xfId="0" applyNumberFormat="1" applyFont="1" applyBorder="1" applyAlignment="1" applyProtection="1">
      <alignment horizontal="center" vertical="center"/>
      <protection hidden="1"/>
    </xf>
    <xf numFmtId="2" fontId="25" fillId="0" borderId="40" xfId="0" applyNumberFormat="1" applyFont="1" applyBorder="1" applyAlignment="1" applyProtection="1">
      <alignment horizontal="center" vertical="center"/>
      <protection hidden="1"/>
    </xf>
    <xf numFmtId="2" fontId="25" fillId="0" borderId="21" xfId="0" applyNumberFormat="1" applyFont="1" applyBorder="1" applyAlignment="1" applyProtection="1">
      <alignment horizontal="center" vertical="center"/>
      <protection hidden="1"/>
    </xf>
    <xf numFmtId="0" fontId="29" fillId="0" borderId="40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2" fontId="32" fillId="0" borderId="11" xfId="0" applyNumberFormat="1" applyFont="1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166" fontId="4" fillId="0" borderId="40" xfId="0" applyNumberFormat="1" applyFont="1" applyBorder="1" applyAlignment="1" applyProtection="1">
      <alignment horizontal="center" vertical="center"/>
      <protection hidden="1"/>
    </xf>
    <xf numFmtId="166" fontId="4" fillId="0" borderId="21" xfId="0" applyNumberFormat="1" applyFont="1" applyBorder="1" applyAlignment="1" applyProtection="1">
      <alignment horizontal="center" vertical="center"/>
      <protection hidden="1"/>
    </xf>
    <xf numFmtId="166" fontId="4" fillId="0" borderId="23" xfId="0" applyNumberFormat="1" applyFont="1" applyBorder="1" applyAlignment="1" applyProtection="1">
      <alignment horizontal="center" vertical="center"/>
      <protection hidden="1"/>
    </xf>
    <xf numFmtId="166" fontId="4" fillId="0" borderId="13" xfId="0" applyNumberFormat="1" applyFont="1" applyBorder="1" applyAlignment="1" applyProtection="1">
      <alignment horizontal="center" vertical="center"/>
      <protection hidden="1"/>
    </xf>
    <xf numFmtId="166" fontId="4" fillId="0" borderId="14" xfId="0" applyNumberFormat="1" applyFont="1" applyBorder="1" applyAlignment="1" applyProtection="1">
      <alignment horizontal="center" vertical="center"/>
      <protection hidden="1"/>
    </xf>
    <xf numFmtId="166" fontId="4" fillId="0" borderId="15" xfId="0" applyNumberFormat="1" applyFont="1" applyBorder="1" applyAlignment="1" applyProtection="1">
      <alignment horizontal="center" vertical="center"/>
      <protection hidden="1"/>
    </xf>
    <xf numFmtId="166" fontId="4" fillId="0" borderId="18" xfId="0" applyNumberFormat="1" applyFont="1" applyBorder="1" applyAlignment="1" applyProtection="1">
      <alignment horizontal="center" vertical="center"/>
      <protection hidden="1"/>
    </xf>
    <xf numFmtId="166" fontId="4" fillId="0" borderId="19" xfId="0" applyNumberFormat="1" applyFont="1" applyBorder="1" applyAlignment="1" applyProtection="1">
      <alignment horizontal="center" vertical="center"/>
      <protection hidden="1"/>
    </xf>
    <xf numFmtId="166" fontId="4" fillId="0" borderId="20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175" fontId="5" fillId="20" borderId="11" xfId="0" applyNumberFormat="1" applyFont="1" applyFill="1" applyBorder="1" applyAlignment="1" applyProtection="1">
      <alignment horizontal="center" vertical="center"/>
      <protection locked="0"/>
    </xf>
    <xf numFmtId="175" fontId="5" fillId="20" borderId="35" xfId="0" applyNumberFormat="1" applyFont="1" applyFill="1" applyBorder="1" applyAlignment="1" applyProtection="1">
      <alignment horizontal="center" vertical="center"/>
      <protection locked="0"/>
    </xf>
    <xf numFmtId="175" fontId="5" fillId="20" borderId="48" xfId="0" applyNumberFormat="1" applyFont="1" applyFill="1" applyBorder="1" applyAlignment="1" applyProtection="1">
      <alignment horizontal="center" vertical="center"/>
      <protection locked="0"/>
    </xf>
    <xf numFmtId="175" fontId="5" fillId="2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left"/>
      <protection hidden="1"/>
    </xf>
    <xf numFmtId="0" fontId="30" fillId="0" borderId="6" xfId="0" applyFont="1" applyBorder="1" applyAlignment="1" applyProtection="1">
      <alignment horizontal="left"/>
      <protection hidden="1"/>
    </xf>
    <xf numFmtId="0" fontId="30" fillId="0" borderId="12" xfId="0" applyFont="1" applyBorder="1" applyAlignment="1" applyProtection="1">
      <alignment horizontal="left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2" fontId="122" fillId="0" borderId="0" xfId="0" applyNumberFormat="1" applyFont="1" applyAlignment="1">
      <alignment horizontal="center"/>
    </xf>
    <xf numFmtId="167" fontId="48" fillId="0" borderId="21" xfId="0" applyNumberFormat="1" applyFont="1" applyBorder="1" applyAlignment="1" applyProtection="1">
      <alignment horizontal="center"/>
      <protection hidden="1"/>
    </xf>
    <xf numFmtId="167" fontId="48" fillId="0" borderId="23" xfId="0" applyNumberFormat="1" applyFont="1" applyBorder="1" applyAlignment="1" applyProtection="1">
      <alignment horizontal="center"/>
      <protection hidden="1"/>
    </xf>
    <xf numFmtId="0" fontId="29" fillId="0" borderId="50" xfId="0" applyFont="1" applyFill="1" applyBorder="1" applyAlignment="1" applyProtection="1">
      <alignment horizontal="center" vertical="center"/>
      <protection hidden="1"/>
    </xf>
    <xf numFmtId="0" fontId="29" fillId="0" borderId="54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 vertical="center"/>
      <protection hidden="1"/>
    </xf>
    <xf numFmtId="0" fontId="7" fillId="19" borderId="0" xfId="0" applyFont="1" applyFill="1" applyBorder="1" applyAlignment="1" applyProtection="1">
      <alignment horizontal="center"/>
      <protection hidden="1"/>
    </xf>
    <xf numFmtId="175" fontId="5" fillId="0" borderId="67" xfId="0" applyNumberFormat="1" applyFont="1" applyFill="1" applyBorder="1" applyAlignment="1" applyProtection="1">
      <alignment horizontal="center" vertical="center"/>
      <protection locked="0"/>
    </xf>
    <xf numFmtId="175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hidden="1"/>
    </xf>
    <xf numFmtId="0" fontId="72" fillId="0" borderId="13" xfId="0" applyFont="1" applyBorder="1" applyAlignment="1" applyProtection="1">
      <alignment horizontal="left" vertical="top"/>
    </xf>
    <xf numFmtId="0" fontId="72" fillId="0" borderId="14" xfId="0" applyFont="1" applyBorder="1" applyAlignment="1" applyProtection="1">
      <alignment horizontal="left" vertical="top"/>
    </xf>
    <xf numFmtId="0" fontId="72" fillId="0" borderId="15" xfId="0" applyFont="1" applyBorder="1" applyAlignment="1" applyProtection="1">
      <alignment horizontal="left" vertical="top"/>
    </xf>
    <xf numFmtId="0" fontId="72" fillId="0" borderId="16" xfId="0" applyFont="1" applyBorder="1" applyAlignment="1" applyProtection="1">
      <alignment horizontal="left" vertical="top"/>
    </xf>
    <xf numFmtId="0" fontId="72" fillId="0" borderId="0" xfId="0" applyFont="1" applyBorder="1" applyAlignment="1" applyProtection="1">
      <alignment horizontal="left" vertical="top"/>
    </xf>
    <xf numFmtId="0" fontId="72" fillId="0" borderId="17" xfId="0" applyFont="1" applyBorder="1" applyAlignment="1" applyProtection="1">
      <alignment horizontal="left" vertical="top"/>
    </xf>
    <xf numFmtId="0" fontId="72" fillId="0" borderId="18" xfId="0" applyFont="1" applyBorder="1" applyAlignment="1" applyProtection="1">
      <alignment horizontal="left" vertical="top"/>
    </xf>
    <xf numFmtId="0" fontId="72" fillId="0" borderId="19" xfId="0" applyFont="1" applyBorder="1" applyAlignment="1" applyProtection="1">
      <alignment horizontal="left" vertical="top"/>
    </xf>
    <xf numFmtId="0" fontId="72" fillId="0" borderId="20" xfId="0" applyFont="1" applyBorder="1" applyAlignment="1" applyProtection="1">
      <alignment horizontal="left" vertical="top"/>
    </xf>
    <xf numFmtId="167" fontId="43" fillId="0" borderId="21" xfId="0" applyNumberFormat="1" applyFont="1" applyBorder="1" applyAlignment="1" applyProtection="1">
      <alignment horizontal="center"/>
      <protection hidden="1"/>
    </xf>
    <xf numFmtId="167" fontId="43" fillId="0" borderId="23" xfId="0" applyNumberFormat="1" applyFont="1" applyBorder="1" applyAlignment="1" applyProtection="1">
      <alignment horizontal="center"/>
      <protection hidden="1"/>
    </xf>
    <xf numFmtId="0" fontId="114" fillId="0" borderId="40" xfId="0" applyFont="1" applyFill="1" applyBorder="1" applyAlignment="1">
      <alignment horizontal="left"/>
    </xf>
    <xf numFmtId="0" fontId="114" fillId="0" borderId="21" xfId="0" applyFont="1" applyFill="1" applyBorder="1" applyAlignment="1">
      <alignment horizontal="left"/>
    </xf>
    <xf numFmtId="0" fontId="114" fillId="0" borderId="23" xfId="0" applyFont="1" applyFill="1" applyBorder="1" applyAlignment="1">
      <alignment horizontal="left"/>
    </xf>
    <xf numFmtId="175" fontId="5" fillId="0" borderId="71" xfId="0" applyNumberFormat="1" applyFont="1" applyFill="1" applyBorder="1" applyAlignment="1" applyProtection="1">
      <alignment horizontal="center" vertical="center"/>
      <protection locked="0"/>
    </xf>
    <xf numFmtId="175" fontId="5" fillId="0" borderId="72" xfId="0" applyNumberFormat="1" applyFont="1" applyFill="1" applyBorder="1" applyAlignment="1" applyProtection="1">
      <alignment horizontal="center" vertical="center"/>
      <protection locked="0"/>
    </xf>
    <xf numFmtId="175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70" fillId="0" borderId="15" xfId="0" applyFont="1" applyBorder="1" applyAlignment="1" applyProtection="1">
      <alignment horizontal="center" vertical="center"/>
      <protection hidden="1"/>
    </xf>
    <xf numFmtId="0" fontId="70" fillId="0" borderId="16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0" fillId="0" borderId="17" xfId="0" applyFont="1" applyBorder="1" applyAlignment="1" applyProtection="1">
      <alignment horizontal="center" vertical="center"/>
      <protection hidden="1"/>
    </xf>
    <xf numFmtId="0" fontId="70" fillId="0" borderId="18" xfId="0" applyFont="1" applyBorder="1" applyAlignment="1" applyProtection="1">
      <alignment horizontal="center" vertical="center"/>
      <protection hidden="1"/>
    </xf>
    <xf numFmtId="0" fontId="70" fillId="0" borderId="19" xfId="0" applyFont="1" applyBorder="1" applyAlignment="1" applyProtection="1">
      <alignment horizontal="center" vertical="center"/>
      <protection hidden="1"/>
    </xf>
    <xf numFmtId="0" fontId="70" fillId="0" borderId="2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62" fillId="0" borderId="2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8" xfId="0" applyFont="1" applyBorder="1" applyAlignment="1">
      <alignment horizontal="center"/>
    </xf>
    <xf numFmtId="171" fontId="5" fillId="0" borderId="6" xfId="0" applyNumberFormat="1" applyFont="1" applyBorder="1" applyAlignment="1" applyProtection="1">
      <alignment horizontal="center"/>
      <protection hidden="1"/>
    </xf>
    <xf numFmtId="171" fontId="5" fillId="0" borderId="12" xfId="0" applyNumberFormat="1" applyFont="1" applyBorder="1" applyAlignment="1" applyProtection="1">
      <alignment horizontal="center"/>
      <protection hidden="1"/>
    </xf>
    <xf numFmtId="171" fontId="5" fillId="0" borderId="6" xfId="0" applyNumberFormat="1" applyFont="1" applyBorder="1" applyAlignment="1" applyProtection="1">
      <alignment horizontal="center" vertical="center"/>
      <protection hidden="1"/>
    </xf>
    <xf numFmtId="171" fontId="5" fillId="0" borderId="12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 vertical="center"/>
      <protection locked="0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2" fillId="0" borderId="7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171" fontId="53" fillId="0" borderId="21" xfId="0" applyNumberFormat="1" applyFont="1" applyBorder="1" applyAlignment="1">
      <alignment horizontal="center" vertical="center"/>
    </xf>
    <xf numFmtId="171" fontId="53" fillId="0" borderId="23" xfId="0" applyNumberFormat="1" applyFont="1" applyBorder="1" applyAlignment="1">
      <alignment horizontal="center" vertical="center"/>
    </xf>
    <xf numFmtId="0" fontId="58" fillId="32" borderId="7" xfId="0" applyFont="1" applyFill="1" applyBorder="1" applyAlignment="1" applyProtection="1">
      <alignment horizontal="center" vertical="top" wrapText="1"/>
      <protection locked="0"/>
    </xf>
    <xf numFmtId="0" fontId="58" fillId="32" borderId="6" xfId="0" applyFont="1" applyFill="1" applyBorder="1" applyAlignment="1" applyProtection="1">
      <alignment horizontal="center" vertical="top" wrapText="1"/>
      <protection locked="0"/>
    </xf>
    <xf numFmtId="0" fontId="58" fillId="32" borderId="12" xfId="0" applyFont="1" applyFill="1" applyBorder="1" applyAlignment="1" applyProtection="1">
      <alignment horizontal="center" vertical="top" wrapText="1"/>
      <protection locked="0"/>
    </xf>
    <xf numFmtId="165" fontId="46" fillId="0" borderId="0" xfId="0" applyNumberFormat="1" applyFont="1" applyBorder="1" applyAlignment="1" applyProtection="1">
      <alignment horizontal="center"/>
      <protection hidden="1"/>
    </xf>
    <xf numFmtId="171" fontId="25" fillId="0" borderId="0" xfId="0" applyNumberFormat="1" applyFont="1" applyAlignment="1" applyProtection="1">
      <alignment horizontal="center"/>
      <protection hidden="1"/>
    </xf>
    <xf numFmtId="164" fontId="49" fillId="32" borderId="11" xfId="0" applyNumberFormat="1" applyFont="1" applyFill="1" applyBorder="1" applyAlignment="1" applyProtection="1">
      <alignment horizontal="center"/>
      <protection locked="0"/>
    </xf>
    <xf numFmtId="0" fontId="49" fillId="32" borderId="11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7" xfId="0" applyFont="1" applyBorder="1" applyAlignment="1">
      <alignment horizontal="left"/>
    </xf>
    <xf numFmtId="0" fontId="60" fillId="0" borderId="6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173" fontId="0" fillId="0" borderId="0" xfId="0" applyNumberFormat="1" applyBorder="1" applyAlignment="1" applyProtection="1">
      <alignment horizontal="center"/>
      <protection locked="0"/>
    </xf>
    <xf numFmtId="0" fontId="58" fillId="32" borderId="1" xfId="0" applyFont="1" applyFill="1" applyBorder="1" applyAlignment="1" applyProtection="1">
      <alignment horizontal="justify" vertical="top" wrapText="1"/>
      <protection locked="0"/>
    </xf>
    <xf numFmtId="0" fontId="58" fillId="32" borderId="0" xfId="0" applyFont="1" applyFill="1" applyBorder="1" applyAlignment="1" applyProtection="1">
      <alignment horizontal="justify" vertical="top" wrapText="1"/>
      <protection locked="0"/>
    </xf>
    <xf numFmtId="0" fontId="58" fillId="32" borderId="4" xfId="0" applyFont="1" applyFill="1" applyBorder="1" applyAlignment="1" applyProtection="1">
      <alignment horizontal="justify" vertical="top" wrapText="1"/>
      <protection locked="0"/>
    </xf>
    <xf numFmtId="0" fontId="58" fillId="32" borderId="5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2" fillId="32" borderId="11" xfId="0" applyFont="1" applyFill="1" applyBorder="1" applyAlignment="1" applyProtection="1">
      <alignment horizontal="center"/>
      <protection locked="0"/>
    </xf>
    <xf numFmtId="14" fontId="62" fillId="32" borderId="11" xfId="0" applyNumberFormat="1" applyFont="1" applyFill="1" applyBorder="1" applyAlignment="1" applyProtection="1">
      <alignment horizontal="center"/>
      <protection locked="0"/>
    </xf>
    <xf numFmtId="0" fontId="62" fillId="32" borderId="7" xfId="0" applyFont="1" applyFill="1" applyBorder="1" applyAlignment="1" applyProtection="1">
      <alignment horizontal="center"/>
      <protection locked="0"/>
    </xf>
    <xf numFmtId="0" fontId="62" fillId="32" borderId="6" xfId="0" applyFont="1" applyFill="1" applyBorder="1" applyAlignment="1" applyProtection="1">
      <alignment horizontal="center"/>
      <protection locked="0"/>
    </xf>
    <xf numFmtId="0" fontId="62" fillId="32" borderId="12" xfId="0" applyFont="1" applyFill="1" applyBorder="1" applyAlignment="1" applyProtection="1">
      <alignment horizontal="center"/>
      <protection locked="0"/>
    </xf>
    <xf numFmtId="0" fontId="60" fillId="0" borderId="1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7" fillId="0" borderId="2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32" borderId="7" xfId="0" applyFill="1" applyBorder="1" applyAlignment="1" applyProtection="1">
      <alignment horizontal="center" vertical="center"/>
      <protection locked="0"/>
    </xf>
    <xf numFmtId="0" fontId="0" fillId="32" borderId="6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60" fillId="32" borderId="2" xfId="0" applyFont="1" applyFill="1" applyBorder="1" applyAlignment="1" applyProtection="1">
      <alignment horizontal="justify" vertical="top"/>
      <protection locked="0"/>
    </xf>
    <xf numFmtId="0" fontId="60" fillId="32" borderId="3" xfId="0" applyFont="1" applyFill="1" applyBorder="1" applyAlignment="1" applyProtection="1">
      <alignment horizontal="justify" vertical="top"/>
      <protection locked="0"/>
    </xf>
    <xf numFmtId="0" fontId="60" fillId="32" borderId="8" xfId="0" applyFont="1" applyFill="1" applyBorder="1" applyAlignment="1" applyProtection="1">
      <alignment horizontal="justify" vertical="top"/>
      <protection locked="0"/>
    </xf>
    <xf numFmtId="0" fontId="60" fillId="32" borderId="4" xfId="0" applyFont="1" applyFill="1" applyBorder="1" applyAlignment="1" applyProtection="1">
      <alignment horizontal="justify" vertical="top"/>
      <protection locked="0"/>
    </xf>
    <xf numFmtId="0" fontId="60" fillId="32" borderId="5" xfId="0" applyFont="1" applyFill="1" applyBorder="1" applyAlignment="1" applyProtection="1">
      <alignment horizontal="justify" vertical="top"/>
      <protection locked="0"/>
    </xf>
    <xf numFmtId="0" fontId="60" fillId="32" borderId="9" xfId="0" applyFont="1" applyFill="1" applyBorder="1" applyAlignment="1" applyProtection="1">
      <alignment horizontal="justify" vertical="top"/>
      <protection locked="0"/>
    </xf>
    <xf numFmtId="1" fontId="49" fillId="9" borderId="11" xfId="0" applyNumberFormat="1" applyFont="1" applyFill="1" applyBorder="1" applyAlignment="1" applyProtection="1">
      <alignment horizontal="center"/>
      <protection locked="0"/>
    </xf>
    <xf numFmtId="171" fontId="66" fillId="0" borderId="14" xfId="0" applyNumberFormat="1" applyFont="1" applyBorder="1" applyAlignment="1">
      <alignment horizontal="center" vertical="center"/>
    </xf>
    <xf numFmtId="171" fontId="66" fillId="0" borderId="15" xfId="0" applyNumberFormat="1" applyFont="1" applyBorder="1" applyAlignment="1">
      <alignment horizontal="center" vertical="center"/>
    </xf>
    <xf numFmtId="171" fontId="66" fillId="0" borderId="19" xfId="0" applyNumberFormat="1" applyFont="1" applyBorder="1" applyAlignment="1">
      <alignment horizontal="center" vertical="center"/>
    </xf>
    <xf numFmtId="171" fontId="66" fillId="0" borderId="20" xfId="0" applyNumberFormat="1" applyFont="1" applyBorder="1" applyAlignment="1">
      <alignment horizontal="center" vertical="center"/>
    </xf>
    <xf numFmtId="168" fontId="49" fillId="9" borderId="11" xfId="0" applyNumberFormat="1" applyFont="1" applyFill="1" applyBorder="1" applyAlignment="1" applyProtection="1">
      <alignment horizontal="center"/>
      <protection locked="0"/>
    </xf>
    <xf numFmtId="1" fontId="14" fillId="9" borderId="7" xfId="0" applyNumberFormat="1" applyFont="1" applyFill="1" applyBorder="1" applyAlignment="1" applyProtection="1">
      <alignment horizontal="center"/>
      <protection locked="0"/>
    </xf>
    <xf numFmtId="0" fontId="14" fillId="9" borderId="6" xfId="0" applyFont="1" applyFill="1" applyBorder="1" applyAlignment="1" applyProtection="1">
      <alignment horizontal="center"/>
      <protection locked="0"/>
    </xf>
    <xf numFmtId="0" fontId="14" fillId="9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6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2" fillId="0" borderId="0" xfId="0" applyFont="1" applyFill="1" applyBorder="1" applyAlignment="1">
      <alignment horizontal="center"/>
    </xf>
    <xf numFmtId="0" fontId="65" fillId="0" borderId="6" xfId="0" applyFont="1" applyBorder="1" applyAlignment="1">
      <alignment horizontal="left" vertical="center" wrapText="1"/>
    </xf>
    <xf numFmtId="168" fontId="5" fillId="0" borderId="7" xfId="0" applyNumberFormat="1" applyFont="1" applyBorder="1" applyAlignment="1" applyProtection="1">
      <alignment horizontal="center"/>
      <protection hidden="1"/>
    </xf>
    <xf numFmtId="168" fontId="5" fillId="0" borderId="6" xfId="0" applyNumberFormat="1" applyFont="1" applyBorder="1" applyAlignment="1" applyProtection="1">
      <alignment horizontal="center"/>
      <protection hidden="1"/>
    </xf>
    <xf numFmtId="168" fontId="5" fillId="0" borderId="12" xfId="0" applyNumberFormat="1" applyFont="1" applyBorder="1" applyAlignment="1" applyProtection="1">
      <alignment horizontal="center"/>
      <protection hidden="1"/>
    </xf>
    <xf numFmtId="171" fontId="7" fillId="0" borderId="6" xfId="0" applyNumberFormat="1" applyFont="1" applyBorder="1" applyAlignment="1" applyProtection="1">
      <alignment horizontal="center"/>
      <protection hidden="1"/>
    </xf>
    <xf numFmtId="171" fontId="7" fillId="0" borderId="12" xfId="0" applyNumberFormat="1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50" fillId="16" borderId="0" xfId="0" applyFont="1" applyFill="1" applyBorder="1" applyAlignment="1" applyProtection="1">
      <alignment horizontal="center"/>
      <protection locked="0"/>
    </xf>
    <xf numFmtId="0" fontId="0" fillId="12" borderId="85" xfId="0" applyFill="1" applyBorder="1" applyProtection="1">
      <protection hidden="1"/>
    </xf>
    <xf numFmtId="0" fontId="0" fillId="12" borderId="85" xfId="0" applyFill="1" applyBorder="1" applyAlignment="1" applyProtection="1">
      <alignment horizontal="center"/>
      <protection hidden="1"/>
    </xf>
    <xf numFmtId="0" fontId="0" fillId="12" borderId="84" xfId="0" applyFill="1" applyBorder="1" applyProtection="1">
      <protection locked="0"/>
    </xf>
    <xf numFmtId="0" fontId="0" fillId="12" borderId="85" xfId="0" applyFill="1" applyBorder="1" applyProtection="1">
      <protection locked="0"/>
    </xf>
    <xf numFmtId="0" fontId="0" fillId="12" borderId="86" xfId="0" applyFill="1" applyBorder="1" applyProtection="1">
      <protection locked="0"/>
    </xf>
    <xf numFmtId="0" fontId="0" fillId="12" borderId="87" xfId="0" applyFill="1" applyBorder="1" applyProtection="1">
      <protection hidden="1"/>
    </xf>
    <xf numFmtId="0" fontId="0" fillId="12" borderId="88" xfId="0" applyFill="1" applyBorder="1" applyProtection="1">
      <protection hidden="1"/>
    </xf>
    <xf numFmtId="0" fontId="60" fillId="0" borderId="31" xfId="0" applyFont="1" applyBorder="1" applyAlignment="1" applyProtection="1">
      <alignment horizontal="right"/>
      <protection hidden="1"/>
    </xf>
    <xf numFmtId="0" fontId="60" fillId="0" borderId="32" xfId="0" applyFont="1" applyBorder="1" applyAlignment="1" applyProtection="1">
      <alignment horizontal="right"/>
      <protection hidden="1"/>
    </xf>
    <xf numFmtId="0" fontId="0" fillId="12" borderId="84" xfId="0" applyFill="1" applyBorder="1" applyProtection="1">
      <protection hidden="1"/>
    </xf>
    <xf numFmtId="0" fontId="0" fillId="12" borderId="86" xfId="0" applyFill="1" applyBorder="1" applyProtection="1">
      <protection hidden="1"/>
    </xf>
    <xf numFmtId="0" fontId="0" fillId="12" borderId="24" xfId="0" applyFill="1" applyBorder="1" applyProtection="1">
      <protection hidden="1"/>
    </xf>
    <xf numFmtId="0" fontId="0" fillId="12" borderId="83" xfId="0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locked="0"/>
    </xf>
    <xf numFmtId="0" fontId="0" fillId="12" borderId="8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50" fillId="12" borderId="1" xfId="0" applyFont="1" applyFill="1" applyBorder="1" applyAlignment="1" applyProtection="1">
      <alignment horizontal="left"/>
      <protection hidden="1"/>
    </xf>
    <xf numFmtId="0" fontId="50" fillId="12" borderId="0" xfId="0" applyFont="1" applyFill="1" applyBorder="1" applyAlignment="1" applyProtection="1">
      <alignment horizontal="left"/>
      <protection hidden="1"/>
    </xf>
    <xf numFmtId="0" fontId="50" fillId="12" borderId="1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0" borderId="10" xfId="0" applyFont="1" applyBorder="1" applyAlignment="1" applyProtection="1">
      <alignment horizontal="center"/>
      <protection hidden="1"/>
    </xf>
    <xf numFmtId="0" fontId="50" fillId="12" borderId="1" xfId="0" applyFont="1" applyFill="1" applyBorder="1" applyAlignment="1" applyProtection="1">
      <alignment horizontal="center"/>
      <protection hidden="1"/>
    </xf>
    <xf numFmtId="0" fontId="50" fillId="12" borderId="0" xfId="0" applyFont="1" applyFill="1" applyBorder="1" applyAlignment="1" applyProtection="1">
      <alignment horizontal="center"/>
      <protection hidden="1"/>
    </xf>
    <xf numFmtId="0" fontId="50" fillId="12" borderId="10" xfId="0" applyFont="1" applyFill="1" applyBorder="1" applyAlignment="1" applyProtection="1">
      <alignment horizontal="center"/>
      <protection hidden="1"/>
    </xf>
    <xf numFmtId="0" fontId="50" fillId="16" borderId="3" xfId="0" applyFont="1" applyFill="1" applyBorder="1" applyAlignment="1" applyProtection="1">
      <alignment horizontal="left"/>
      <protection locked="0"/>
    </xf>
    <xf numFmtId="0" fontId="69" fillId="16" borderId="1" xfId="0" applyFont="1" applyFill="1" applyBorder="1" applyAlignment="1" applyProtection="1">
      <alignment horizontal="left"/>
      <protection locked="0"/>
    </xf>
    <xf numFmtId="0" fontId="69" fillId="16" borderId="0" xfId="0" applyFont="1" applyFill="1" applyBorder="1" applyAlignment="1" applyProtection="1">
      <alignment horizontal="left"/>
      <protection locked="0"/>
    </xf>
    <xf numFmtId="0" fontId="75" fillId="12" borderId="0" xfId="0" applyFont="1" applyFill="1" applyBorder="1" applyAlignment="1" applyProtection="1">
      <alignment horizontal="center" vertical="center"/>
      <protection hidden="1"/>
    </xf>
    <xf numFmtId="0" fontId="75" fillId="12" borderId="29" xfId="0" applyFont="1" applyFill="1" applyBorder="1" applyAlignment="1" applyProtection="1">
      <alignment horizontal="center" vertical="center"/>
      <protection hidden="1"/>
    </xf>
    <xf numFmtId="0" fontId="0" fillId="12" borderId="84" xfId="0" applyFill="1" applyBorder="1" applyAlignment="1" applyProtection="1">
      <alignment horizontal="left"/>
      <protection hidden="1"/>
    </xf>
    <xf numFmtId="0" fontId="0" fillId="12" borderId="85" xfId="0" applyFill="1" applyBorder="1" applyAlignment="1" applyProtection="1">
      <alignment horizontal="left"/>
      <protection hidden="1"/>
    </xf>
    <xf numFmtId="0" fontId="0" fillId="12" borderId="86" xfId="0" applyFill="1" applyBorder="1" applyAlignment="1" applyProtection="1">
      <alignment horizontal="left"/>
      <protection hidden="1"/>
    </xf>
    <xf numFmtId="0" fontId="113" fillId="0" borderId="18" xfId="0" applyFont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6" fillId="0" borderId="18" xfId="0" applyFont="1" applyBorder="1" applyAlignment="1" applyProtection="1">
      <alignment horizontal="center"/>
      <protection locked="0" hidden="1"/>
    </xf>
    <xf numFmtId="0" fontId="26" fillId="0" borderId="19" xfId="0" applyFont="1" applyBorder="1" applyAlignment="1" applyProtection="1">
      <alignment horizontal="center"/>
      <protection locked="0" hidden="1"/>
    </xf>
    <xf numFmtId="0" fontId="26" fillId="0" borderId="20" xfId="0" applyFont="1" applyBorder="1" applyAlignment="1" applyProtection="1">
      <alignment horizontal="center"/>
      <protection locked="0" hidden="1"/>
    </xf>
    <xf numFmtId="0" fontId="26" fillId="0" borderId="18" xfId="0" applyFont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/>
      <protection hidden="1"/>
    </xf>
    <xf numFmtId="0" fontId="60" fillId="0" borderId="91" xfId="0" applyFont="1" applyBorder="1" applyAlignment="1" applyProtection="1">
      <alignment horizontal="center"/>
      <protection hidden="1"/>
    </xf>
    <xf numFmtId="0" fontId="60" fillId="0" borderId="92" xfId="0" applyFont="1" applyBorder="1" applyAlignment="1" applyProtection="1">
      <alignment horizontal="center"/>
      <protection hidden="1"/>
    </xf>
    <xf numFmtId="0" fontId="60" fillId="0" borderId="93" xfId="0" applyFont="1" applyBorder="1" applyAlignment="1" applyProtection="1">
      <alignment horizontal="center"/>
      <protection hidden="1"/>
    </xf>
    <xf numFmtId="0" fontId="60" fillId="0" borderId="94" xfId="0" applyFont="1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4" fontId="69" fillId="0" borderId="21" xfId="0" applyNumberFormat="1" applyFont="1" applyBorder="1" applyAlignment="1" applyProtection="1">
      <alignment horizontal="center"/>
      <protection hidden="1"/>
    </xf>
    <xf numFmtId="14" fontId="69" fillId="0" borderId="23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42" fillId="0" borderId="14" xfId="0" applyFont="1" applyBorder="1" applyAlignment="1" applyProtection="1">
      <alignment horizontal="center" vertical="center" wrapText="1"/>
      <protection hidden="1"/>
    </xf>
    <xf numFmtId="0" fontId="42" fillId="0" borderId="89" xfId="0" applyFont="1" applyBorder="1" applyAlignment="1" applyProtection="1">
      <alignment horizontal="center" vertical="center" wrapText="1"/>
      <protection hidden="1"/>
    </xf>
    <xf numFmtId="0" fontId="62" fillId="0" borderId="90" xfId="0" applyFont="1" applyBorder="1" applyAlignment="1" applyProtection="1">
      <alignment horizontal="center" vertical="center"/>
      <protection hidden="1"/>
    </xf>
    <xf numFmtId="0" fontId="62" fillId="0" borderId="14" xfId="0" applyFont="1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10" xfId="0" applyFont="1" applyBorder="1" applyAlignment="1" applyProtection="1">
      <alignment horizontal="center" vertical="center" wrapText="1"/>
      <protection hidden="1"/>
    </xf>
    <xf numFmtId="0" fontId="62" fillId="0" borderId="1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62" fillId="0" borderId="40" xfId="0" applyFont="1" applyBorder="1" applyAlignment="1" applyProtection="1">
      <alignment horizontal="right" vertical="center"/>
      <protection hidden="1"/>
    </xf>
    <xf numFmtId="0" fontId="26" fillId="0" borderId="23" xfId="0" applyFont="1" applyBorder="1" applyAlignment="1" applyProtection="1">
      <alignment horizontal="right" vertical="center"/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62" fillId="0" borderId="18" xfId="0" applyFont="1" applyBorder="1" applyAlignment="1" applyProtection="1">
      <alignment horizontal="center" vertical="center"/>
      <protection hidden="1"/>
    </xf>
    <xf numFmtId="0" fontId="62" fillId="0" borderId="19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locked="0" hidden="1"/>
    </xf>
    <xf numFmtId="0" fontId="69" fillId="0" borderId="0" xfId="0" applyFont="1" applyBorder="1" applyAlignment="1" applyProtection="1">
      <alignment horizontal="center" vertical="center"/>
      <protection locked="0" hidden="1"/>
    </xf>
    <xf numFmtId="0" fontId="69" fillId="0" borderId="17" xfId="0" applyFont="1" applyBorder="1" applyAlignment="1" applyProtection="1">
      <alignment horizontal="center" vertical="center"/>
      <protection locked="0" hidden="1"/>
    </xf>
    <xf numFmtId="0" fontId="69" fillId="0" borderId="18" xfId="0" applyFont="1" applyBorder="1" applyAlignment="1" applyProtection="1">
      <alignment horizontal="center" vertical="center"/>
      <protection locked="0" hidden="1"/>
    </xf>
    <xf numFmtId="0" fontId="69" fillId="0" borderId="19" xfId="0" applyFont="1" applyBorder="1" applyAlignment="1" applyProtection="1">
      <alignment horizontal="center" vertical="center"/>
      <protection locked="0" hidden="1"/>
    </xf>
    <xf numFmtId="0" fontId="69" fillId="0" borderId="20" xfId="0" applyFont="1" applyBorder="1" applyAlignment="1" applyProtection="1">
      <alignment horizontal="center" vertical="center"/>
      <protection locked="0" hidden="1"/>
    </xf>
    <xf numFmtId="0" fontId="26" fillId="0" borderId="13" xfId="0" applyFont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26" fillId="0" borderId="109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14" fontId="53" fillId="0" borderId="73" xfId="0" applyNumberFormat="1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3" fillId="0" borderId="37" xfId="0" applyFont="1" applyBorder="1" applyAlignment="1" applyProtection="1">
      <alignment horizontal="center" vertical="center"/>
      <protection hidden="1"/>
    </xf>
    <xf numFmtId="0" fontId="5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17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hidden="1"/>
    </xf>
    <xf numFmtId="0" fontId="26" fillId="0" borderId="41" xfId="0" applyFont="1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locked="0" hidden="1"/>
    </xf>
    <xf numFmtId="0" fontId="26" fillId="0" borderId="7" xfId="0" applyFont="1" applyBorder="1" applyAlignment="1" applyProtection="1">
      <alignment horizontal="center" vertical="center"/>
      <protection locked="0" hidden="1"/>
    </xf>
    <xf numFmtId="0" fontId="58" fillId="0" borderId="81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103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19" fillId="0" borderId="41" xfId="0" applyFont="1" applyBorder="1" applyAlignment="1" applyProtection="1">
      <alignment horizontal="center" vertical="center"/>
      <protection locked="0" hidden="1"/>
    </xf>
    <xf numFmtId="0" fontId="19" fillId="0" borderId="12" xfId="0" applyFont="1" applyBorder="1" applyAlignment="1" applyProtection="1">
      <alignment horizontal="center" vertical="center"/>
      <protection locked="0" hidden="1"/>
    </xf>
    <xf numFmtId="0" fontId="19" fillId="0" borderId="11" xfId="0" applyFont="1" applyBorder="1" applyAlignment="1" applyProtection="1">
      <alignment horizontal="center" vertical="center"/>
      <protection locked="0" hidden="1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74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0" fontId="26" fillId="0" borderId="6" xfId="0" applyFont="1" applyBorder="1" applyAlignment="1" applyProtection="1">
      <alignment horizontal="center" vertical="center"/>
      <protection locked="0" hidden="1"/>
    </xf>
    <xf numFmtId="0" fontId="26" fillId="0" borderId="42" xfId="0" applyFont="1" applyBorder="1" applyAlignment="1" applyProtection="1">
      <alignment horizontal="center" vertical="center"/>
      <protection locked="0" hidden="1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2" fontId="26" fillId="0" borderId="7" xfId="0" applyNumberFormat="1" applyFont="1" applyBorder="1" applyAlignment="1" applyProtection="1">
      <alignment horizontal="center" vertical="center"/>
      <protection locked="0" hidden="1"/>
    </xf>
    <xf numFmtId="2" fontId="26" fillId="0" borderId="12" xfId="0" applyNumberFormat="1" applyFont="1" applyBorder="1" applyAlignment="1" applyProtection="1">
      <alignment horizontal="center" vertical="center"/>
      <protection locked="0" hidden="1"/>
    </xf>
    <xf numFmtId="2" fontId="26" fillId="0" borderId="41" xfId="0" applyNumberFormat="1" applyFont="1" applyBorder="1" applyAlignment="1" applyProtection="1">
      <alignment horizontal="center" vertical="center"/>
      <protection locked="0" hidden="1"/>
    </xf>
    <xf numFmtId="2" fontId="26" fillId="0" borderId="6" xfId="0" applyNumberFormat="1" applyFont="1" applyBorder="1" applyAlignment="1" applyProtection="1">
      <alignment horizontal="center" vertical="center"/>
      <protection locked="0" hidden="1"/>
    </xf>
    <xf numFmtId="2" fontId="26" fillId="0" borderId="42" xfId="0" applyNumberFormat="1" applyFont="1" applyBorder="1" applyAlignment="1" applyProtection="1">
      <alignment horizontal="center" vertical="center"/>
      <protection locked="0" hidden="1"/>
    </xf>
    <xf numFmtId="0" fontId="0" fillId="0" borderId="7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81" xfId="0" applyFont="1" applyBorder="1" applyAlignment="1" applyProtection="1">
      <alignment horizontal="center" vertical="center"/>
      <protection locked="0" hidden="1"/>
    </xf>
    <xf numFmtId="0" fontId="26" fillId="0" borderId="5" xfId="0" applyFont="1" applyBorder="1" applyAlignment="1" applyProtection="1">
      <alignment horizontal="center" vertical="center"/>
      <protection locked="0" hidden="1"/>
    </xf>
    <xf numFmtId="0" fontId="26" fillId="0" borderId="103" xfId="0" applyFont="1" applyBorder="1" applyAlignment="1" applyProtection="1">
      <alignment horizontal="center" vertical="center"/>
      <protection locked="0" hidden="1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7" xfId="0" applyFont="1" applyBorder="1" applyAlignment="1" applyProtection="1">
      <alignment horizontal="center" vertical="center"/>
      <protection locked="0" hidden="1"/>
    </xf>
    <xf numFmtId="0" fontId="50" fillId="0" borderId="12" xfId="0" applyFont="1" applyBorder="1" applyAlignment="1" applyProtection="1">
      <alignment horizontal="center" vertical="center"/>
      <protection locked="0" hidden="1"/>
    </xf>
    <xf numFmtId="0" fontId="62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locked="0" hidden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9" fillId="0" borderId="13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79" fillId="0" borderId="1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2" fontId="0" fillId="0" borderId="7" xfId="0" applyNumberFormat="1" applyBorder="1" applyAlignment="1" applyProtection="1">
      <alignment horizontal="center" vertical="center"/>
      <protection locked="0" hidden="1"/>
    </xf>
    <xf numFmtId="2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76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9" fillId="0" borderId="102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1" fillId="0" borderId="102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3" fillId="0" borderId="18" xfId="0" applyFont="1" applyBorder="1" applyAlignment="1">
      <alignment horizontal="right"/>
    </xf>
    <xf numFmtId="0" fontId="83" fillId="0" borderId="19" xfId="0" applyFont="1" applyBorder="1" applyAlignment="1">
      <alignment horizontal="right"/>
    </xf>
    <xf numFmtId="14" fontId="93" fillId="0" borderId="16" xfId="0" applyNumberFormat="1" applyFont="1" applyBorder="1" applyAlignment="1" applyProtection="1">
      <alignment horizontal="center" vertical="center"/>
    </xf>
    <xf numFmtId="14" fontId="93" fillId="0" borderId="0" xfId="0" applyNumberFormat="1" applyFont="1" applyBorder="1" applyAlignment="1" applyProtection="1">
      <alignment horizontal="center" vertical="center"/>
    </xf>
    <xf numFmtId="14" fontId="93" fillId="0" borderId="17" xfId="0" applyNumberFormat="1" applyFont="1" applyBorder="1" applyAlignment="1" applyProtection="1">
      <alignment horizontal="center" vertical="center"/>
    </xf>
    <xf numFmtId="14" fontId="93" fillId="0" borderId="18" xfId="0" applyNumberFormat="1" applyFont="1" applyBorder="1" applyAlignment="1" applyProtection="1">
      <alignment horizontal="center" vertical="center"/>
    </xf>
    <xf numFmtId="14" fontId="93" fillId="0" borderId="19" xfId="0" applyNumberFormat="1" applyFont="1" applyBorder="1" applyAlignment="1" applyProtection="1">
      <alignment horizontal="center" vertical="center"/>
    </xf>
    <xf numFmtId="14" fontId="93" fillId="0" borderId="20" xfId="0" applyNumberFormat="1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89" fillId="0" borderId="16" xfId="0" applyFont="1" applyBorder="1" applyAlignment="1" applyProtection="1">
      <alignment horizontal="justify" vertical="center"/>
    </xf>
    <xf numFmtId="0" fontId="89" fillId="0" borderId="0" xfId="0" applyFont="1" applyBorder="1" applyAlignment="1" applyProtection="1">
      <alignment horizontal="justify" vertical="center"/>
    </xf>
    <xf numFmtId="0" fontId="89" fillId="0" borderId="17" xfId="0" applyFont="1" applyBorder="1" applyAlignment="1" applyProtection="1">
      <alignment horizontal="justify" vertical="center"/>
    </xf>
    <xf numFmtId="0" fontId="89" fillId="0" borderId="18" xfId="0" applyFont="1" applyBorder="1" applyAlignment="1" applyProtection="1">
      <alignment horizontal="justify" vertical="center"/>
    </xf>
    <xf numFmtId="0" fontId="89" fillId="0" borderId="19" xfId="0" applyFont="1" applyBorder="1" applyAlignment="1" applyProtection="1">
      <alignment horizontal="justify" vertical="center"/>
    </xf>
    <xf numFmtId="0" fontId="89" fillId="0" borderId="20" xfId="0" applyFont="1" applyBorder="1" applyAlignment="1" applyProtection="1">
      <alignment horizontal="justify" vertical="center"/>
    </xf>
    <xf numFmtId="0" fontId="69" fillId="0" borderId="0" xfId="0" applyFont="1" applyAlignment="1" applyProtection="1">
      <alignment horizontal="left"/>
      <protection locked="0"/>
    </xf>
    <xf numFmtId="0" fontId="89" fillId="0" borderId="16" xfId="0" applyFont="1" applyBorder="1" applyAlignment="1" applyProtection="1">
      <alignment horizontal="distributed" vertical="center"/>
    </xf>
    <xf numFmtId="0" fontId="89" fillId="0" borderId="0" xfId="0" applyFont="1" applyBorder="1" applyAlignment="1" applyProtection="1">
      <alignment horizontal="distributed" vertical="center"/>
    </xf>
    <xf numFmtId="0" fontId="89" fillId="0" borderId="17" xfId="0" applyFont="1" applyBorder="1" applyAlignment="1" applyProtection="1">
      <alignment horizontal="distributed" vertical="center"/>
    </xf>
    <xf numFmtId="0" fontId="89" fillId="0" borderId="18" xfId="0" applyFont="1" applyBorder="1" applyAlignment="1" applyProtection="1">
      <alignment horizontal="distributed" vertical="center"/>
    </xf>
    <xf numFmtId="0" fontId="89" fillId="0" borderId="19" xfId="0" applyFont="1" applyBorder="1" applyAlignment="1" applyProtection="1">
      <alignment horizontal="distributed" vertical="center"/>
    </xf>
    <xf numFmtId="0" fontId="89" fillId="0" borderId="20" xfId="0" applyFont="1" applyBorder="1" applyAlignment="1" applyProtection="1">
      <alignment horizontal="distributed" vertical="center"/>
    </xf>
    <xf numFmtId="0" fontId="91" fillId="2" borderId="40" xfId="0" applyFont="1" applyFill="1" applyBorder="1" applyAlignment="1" applyProtection="1">
      <alignment horizontal="center" vertical="center"/>
    </xf>
    <xf numFmtId="0" fontId="92" fillId="2" borderId="21" xfId="0" applyFont="1" applyFill="1" applyBorder="1" applyAlignment="1" applyProtection="1">
      <alignment horizontal="center" vertical="center"/>
    </xf>
    <xf numFmtId="0" fontId="92" fillId="2" borderId="23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90" fillId="0" borderId="13" xfId="0" applyFont="1" applyBorder="1" applyAlignment="1" applyProtection="1">
      <alignment horizontal="center" vertical="center"/>
    </xf>
    <xf numFmtId="0" fontId="90" fillId="0" borderId="14" xfId="0" applyFont="1" applyBorder="1" applyAlignment="1" applyProtection="1">
      <alignment horizontal="center" vertical="center"/>
    </xf>
    <xf numFmtId="0" fontId="89" fillId="0" borderId="21" xfId="0" applyFont="1" applyBorder="1" applyAlignment="1" applyProtection="1">
      <alignment horizontal="left"/>
    </xf>
    <xf numFmtId="174" fontId="93" fillId="0" borderId="16" xfId="0" applyNumberFormat="1" applyFont="1" applyBorder="1" applyAlignment="1" applyProtection="1">
      <alignment horizontal="center" vertical="center"/>
    </xf>
    <xf numFmtId="174" fontId="93" fillId="0" borderId="0" xfId="0" applyNumberFormat="1" applyFont="1" applyBorder="1" applyAlignment="1" applyProtection="1">
      <alignment horizontal="center" vertical="center"/>
    </xf>
    <xf numFmtId="174" fontId="93" fillId="0" borderId="17" xfId="0" applyNumberFormat="1" applyFont="1" applyBorder="1" applyAlignment="1" applyProtection="1">
      <alignment horizontal="center" vertical="center"/>
    </xf>
    <xf numFmtId="174" fontId="93" fillId="0" borderId="18" xfId="0" applyNumberFormat="1" applyFont="1" applyBorder="1" applyAlignment="1" applyProtection="1">
      <alignment horizontal="center" vertical="center"/>
    </xf>
    <xf numFmtId="174" fontId="93" fillId="0" borderId="19" xfId="0" applyNumberFormat="1" applyFont="1" applyBorder="1" applyAlignment="1" applyProtection="1">
      <alignment horizontal="center" vertical="center"/>
    </xf>
    <xf numFmtId="174" fontId="93" fillId="0" borderId="20" xfId="0" applyNumberFormat="1" applyFont="1" applyBorder="1" applyAlignment="1" applyProtection="1">
      <alignment horizontal="center" vertical="center"/>
    </xf>
    <xf numFmtId="0" fontId="90" fillId="0" borderId="40" xfId="0" applyFont="1" applyBorder="1" applyAlignment="1" applyProtection="1">
      <alignment horizontal="center"/>
    </xf>
    <xf numFmtId="0" fontId="90" fillId="0" borderId="21" xfId="0" applyFont="1" applyBorder="1" applyAlignment="1" applyProtection="1">
      <alignment horizontal="center"/>
    </xf>
    <xf numFmtId="0" fontId="88" fillId="0" borderId="21" xfId="0" applyFont="1" applyBorder="1" applyAlignment="1" applyProtection="1">
      <alignment horizontal="center"/>
    </xf>
    <xf numFmtId="0" fontId="89" fillId="0" borderId="23" xfId="0" applyFont="1" applyBorder="1" applyAlignment="1" applyProtection="1">
      <alignment horizontal="left"/>
    </xf>
    <xf numFmtId="0" fontId="92" fillId="0" borderId="16" xfId="0" applyFont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horizontal="center" vertical="center"/>
    </xf>
    <xf numFmtId="0" fontId="92" fillId="0" borderId="17" xfId="0" applyFont="1" applyBorder="1" applyAlignment="1" applyProtection="1">
      <alignment horizontal="center" vertical="center"/>
    </xf>
    <xf numFmtId="0" fontId="92" fillId="0" borderId="18" xfId="0" applyFont="1" applyBorder="1" applyAlignment="1" applyProtection="1">
      <alignment horizontal="center" vertical="center"/>
    </xf>
    <xf numFmtId="0" fontId="92" fillId="0" borderId="19" xfId="0" applyFont="1" applyBorder="1" applyAlignment="1" applyProtection="1">
      <alignment horizontal="center" vertical="center"/>
    </xf>
    <xf numFmtId="0" fontId="92" fillId="0" borderId="20" xfId="0" applyFont="1" applyBorder="1" applyAlignment="1" applyProtection="1">
      <alignment horizontal="center" vertical="center"/>
    </xf>
    <xf numFmtId="0" fontId="90" fillId="0" borderId="40" xfId="0" applyFont="1" applyBorder="1" applyAlignment="1" applyProtection="1">
      <alignment horizontal="center" vertical="center"/>
    </xf>
    <xf numFmtId="0" fontId="90" fillId="0" borderId="21" xfId="0" applyFont="1" applyBorder="1" applyAlignment="1" applyProtection="1">
      <alignment horizontal="center" vertical="center"/>
    </xf>
    <xf numFmtId="0" fontId="90" fillId="0" borderId="21" xfId="0" applyFont="1" applyBorder="1" applyAlignment="1" applyProtection="1">
      <alignment horizontal="left" vertical="center"/>
    </xf>
    <xf numFmtId="0" fontId="90" fillId="0" borderId="23" xfId="0" applyFont="1" applyBorder="1" applyAlignment="1" applyProtection="1">
      <alignment horizontal="left" vertical="center"/>
    </xf>
    <xf numFmtId="0" fontId="87" fillId="13" borderId="0" xfId="0" applyFont="1" applyFill="1" applyAlignment="1" applyProtection="1">
      <alignment horizontal="center" vertical="justify"/>
    </xf>
    <xf numFmtId="0" fontId="87" fillId="13" borderId="5" xfId="0" applyFont="1" applyFill="1" applyBorder="1" applyAlignment="1" applyProtection="1">
      <alignment horizontal="center" vertical="justify"/>
    </xf>
    <xf numFmtId="0" fontId="88" fillId="0" borderId="40" xfId="0" applyFont="1" applyBorder="1" applyAlignment="1" applyProtection="1">
      <alignment horizontal="center"/>
    </xf>
    <xf numFmtId="0" fontId="50" fillId="0" borderId="0" xfId="0" applyFont="1" applyFill="1" applyAlignment="1" applyProtection="1">
      <alignment horizontal="left"/>
      <protection locked="0"/>
    </xf>
    <xf numFmtId="0" fontId="95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69" fillId="0" borderId="79" xfId="0" applyFont="1" applyBorder="1" applyAlignment="1" applyProtection="1">
      <alignment horizontal="center"/>
      <protection locked="0"/>
    </xf>
    <xf numFmtId="0" fontId="69" fillId="0" borderId="66" xfId="0" applyFont="1" applyBorder="1" applyAlignment="1" applyProtection="1">
      <alignment horizontal="center"/>
      <protection locked="0"/>
    </xf>
    <xf numFmtId="0" fontId="69" fillId="0" borderId="11" xfId="0" applyFont="1" applyBorder="1" applyAlignment="1" applyProtection="1">
      <alignment horizontal="center"/>
      <protection locked="0"/>
    </xf>
    <xf numFmtId="0" fontId="69" fillId="0" borderId="7" xfId="0" applyFont="1" applyBorder="1" applyAlignment="1" applyProtection="1">
      <alignment horizontal="center"/>
      <protection locked="0"/>
    </xf>
    <xf numFmtId="0" fontId="69" fillId="0" borderId="41" xfId="0" applyFont="1" applyBorder="1" applyAlignment="1" applyProtection="1">
      <alignment horizontal="center"/>
      <protection locked="0"/>
    </xf>
    <xf numFmtId="0" fontId="69" fillId="0" borderId="6" xfId="0" applyFont="1" applyBorder="1" applyAlignment="1" applyProtection="1">
      <alignment horizontal="center"/>
      <protection locked="0"/>
    </xf>
    <xf numFmtId="0" fontId="69" fillId="0" borderId="12" xfId="0" applyFont="1" applyBorder="1" applyAlignment="1" applyProtection="1">
      <alignment horizontal="center"/>
      <protection locked="0"/>
    </xf>
    <xf numFmtId="0" fontId="69" fillId="0" borderId="51" xfId="0" applyFont="1" applyBorder="1" applyAlignment="1" applyProtection="1">
      <alignment horizontal="center"/>
      <protection locked="0"/>
    </xf>
    <xf numFmtId="0" fontId="53" fillId="0" borderId="66" xfId="0" applyFont="1" applyBorder="1" applyAlignment="1" applyProtection="1">
      <alignment horizontal="center"/>
      <protection locked="0"/>
    </xf>
    <xf numFmtId="0" fontId="53" fillId="0" borderId="45" xfId="0" applyFont="1" applyBorder="1" applyAlignment="1" applyProtection="1">
      <alignment horizontal="center"/>
      <protection locked="0"/>
    </xf>
    <xf numFmtId="0" fontId="95" fillId="0" borderId="66" xfId="0" applyFont="1" applyBorder="1" applyAlignment="1" applyProtection="1">
      <alignment horizontal="center"/>
      <protection locked="0"/>
    </xf>
    <xf numFmtId="20" fontId="53" fillId="0" borderId="66" xfId="0" applyNumberFormat="1" applyFont="1" applyBorder="1" applyAlignment="1" applyProtection="1">
      <alignment horizont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justify" vertical="center"/>
    </xf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justify"/>
    </xf>
    <xf numFmtId="0" fontId="0" fillId="0" borderId="14" xfId="0" applyBorder="1" applyAlignment="1" applyProtection="1">
      <alignment horizontal="center" vertical="justify"/>
    </xf>
    <xf numFmtId="0" fontId="0" fillId="0" borderId="15" xfId="0" applyBorder="1" applyAlignment="1" applyProtection="1">
      <alignment horizontal="center" vertical="justify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0" fontId="0" fillId="0" borderId="17" xfId="0" applyBorder="1" applyAlignment="1" applyProtection="1">
      <alignment horizontal="center" vertical="justify"/>
    </xf>
    <xf numFmtId="0" fontId="0" fillId="0" borderId="4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0" fillId="0" borderId="16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  <xf numFmtId="0" fontId="0" fillId="0" borderId="16" xfId="0" applyBorder="1" applyAlignment="1" applyProtection="1">
      <alignment horizontal="distributed" vertical="top"/>
    </xf>
    <xf numFmtId="0" fontId="0" fillId="0" borderId="0" xfId="0" applyBorder="1" applyAlignment="1" applyProtection="1">
      <alignment horizontal="distributed" vertical="top"/>
    </xf>
    <xf numFmtId="0" fontId="0" fillId="0" borderId="17" xfId="0" applyBorder="1" applyAlignment="1" applyProtection="1">
      <alignment horizontal="distributed" vertical="top"/>
    </xf>
    <xf numFmtId="0" fontId="0" fillId="0" borderId="18" xfId="0" applyBorder="1" applyAlignment="1" applyProtection="1">
      <alignment horizontal="distributed" vertical="top"/>
    </xf>
    <xf numFmtId="0" fontId="0" fillId="0" borderId="19" xfId="0" applyBorder="1" applyAlignment="1" applyProtection="1">
      <alignment horizontal="distributed" vertical="top"/>
    </xf>
    <xf numFmtId="0" fontId="0" fillId="0" borderId="20" xfId="0" applyBorder="1" applyAlignment="1" applyProtection="1">
      <alignment horizontal="distributed" vertical="top"/>
    </xf>
    <xf numFmtId="0" fontId="0" fillId="0" borderId="18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0" fillId="0" borderId="13" xfId="0" applyBorder="1" applyAlignment="1" applyProtection="1">
      <alignment horizontal="distributed" vertical="top"/>
    </xf>
    <xf numFmtId="0" fontId="0" fillId="0" borderId="14" xfId="0" applyBorder="1" applyAlignment="1" applyProtection="1">
      <alignment horizontal="distributed" vertical="top"/>
    </xf>
    <xf numFmtId="0" fontId="94" fillId="13" borderId="13" xfId="0" applyFont="1" applyFill="1" applyBorder="1" applyAlignment="1" applyProtection="1">
      <alignment horizontal="center" vertical="center"/>
    </xf>
    <xf numFmtId="0" fontId="94" fillId="13" borderId="14" xfId="0" applyFont="1" applyFill="1" applyBorder="1" applyAlignment="1" applyProtection="1">
      <alignment horizontal="center" vertical="center"/>
    </xf>
    <xf numFmtId="0" fontId="94" fillId="13" borderId="15" xfId="0" applyFont="1" applyFill="1" applyBorder="1" applyAlignment="1" applyProtection="1">
      <alignment horizontal="center" vertical="center"/>
    </xf>
    <xf numFmtId="0" fontId="69" fillId="0" borderId="6" xfId="0" applyFont="1" applyBorder="1" applyAlignment="1" applyProtection="1">
      <alignment horizontal="center"/>
    </xf>
    <xf numFmtId="0" fontId="69" fillId="0" borderId="6" xfId="0" applyFont="1" applyBorder="1" applyAlignment="1" applyProtection="1">
      <alignment horizontal="left"/>
    </xf>
    <xf numFmtId="0" fontId="69" fillId="0" borderId="7" xfId="0" applyFont="1" applyBorder="1" applyAlignment="1" applyProtection="1">
      <alignment horizontal="center"/>
    </xf>
    <xf numFmtId="0" fontId="69" fillId="0" borderId="6" xfId="0" applyFont="1" applyBorder="1" applyAlignment="1" applyProtection="1"/>
    <xf numFmtId="0" fontId="69" fillId="0" borderId="12" xfId="0" applyFont="1" applyBorder="1" applyAlignment="1" applyProtection="1"/>
    <xf numFmtId="0" fontId="50" fillId="0" borderId="0" xfId="0" applyFont="1" applyFill="1" applyAlignment="1" applyProtection="1">
      <alignment horizontal="center"/>
      <protection locked="0"/>
    </xf>
    <xf numFmtId="0" fontId="96" fillId="2" borderId="13" xfId="0" applyFont="1" applyFill="1" applyBorder="1" applyAlignment="1">
      <alignment horizontal="center" vertical="center"/>
    </xf>
    <xf numFmtId="0" fontId="96" fillId="2" borderId="14" xfId="0" applyFont="1" applyFill="1" applyBorder="1" applyAlignment="1">
      <alignment horizontal="center" vertical="center"/>
    </xf>
    <xf numFmtId="0" fontId="96" fillId="2" borderId="15" xfId="0" applyFont="1" applyFill="1" applyBorder="1" applyAlignment="1">
      <alignment horizontal="center" vertical="center"/>
    </xf>
    <xf numFmtId="0" fontId="92" fillId="0" borderId="41" xfId="0" applyFont="1" applyBorder="1" applyAlignment="1">
      <alignment horizontal="center" vertical="center"/>
    </xf>
    <xf numFmtId="0" fontId="92" fillId="0" borderId="6" xfId="0" applyFont="1" applyBorder="1" applyAlignment="1">
      <alignment horizontal="center" vertical="center"/>
    </xf>
    <xf numFmtId="0" fontId="92" fillId="0" borderId="7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7" fillId="0" borderId="82" xfId="0" applyFont="1" applyBorder="1" applyAlignment="1" applyProtection="1">
      <alignment horizontal="justify" vertical="top"/>
      <protection locked="0"/>
    </xf>
    <xf numFmtId="0" fontId="97" fillId="0" borderId="3" xfId="0" applyFont="1" applyBorder="1" applyAlignment="1" applyProtection="1">
      <alignment horizontal="justify" vertical="top"/>
      <protection locked="0"/>
    </xf>
    <xf numFmtId="0" fontId="97" fillId="0" borderId="8" xfId="0" applyFont="1" applyBorder="1" applyAlignment="1" applyProtection="1">
      <alignment horizontal="justify" vertical="top"/>
      <protection locked="0"/>
    </xf>
    <xf numFmtId="0" fontId="97" fillId="0" borderId="16" xfId="0" applyFont="1" applyBorder="1" applyAlignment="1" applyProtection="1">
      <alignment horizontal="justify" vertical="top"/>
      <protection locked="0"/>
    </xf>
    <xf numFmtId="0" fontId="97" fillId="0" borderId="0" xfId="0" applyFont="1" applyBorder="1" applyAlignment="1" applyProtection="1">
      <alignment horizontal="justify" vertical="top"/>
      <protection locked="0"/>
    </xf>
    <xf numFmtId="0" fontId="97" fillId="0" borderId="10" xfId="0" applyFont="1" applyBorder="1" applyAlignment="1" applyProtection="1">
      <alignment horizontal="justify" vertical="top"/>
      <protection locked="0"/>
    </xf>
    <xf numFmtId="0" fontId="97" fillId="0" borderId="18" xfId="0" applyFont="1" applyBorder="1" applyAlignment="1" applyProtection="1">
      <alignment horizontal="justify" vertical="top"/>
      <protection locked="0"/>
    </xf>
    <xf numFmtId="0" fontId="97" fillId="0" borderId="19" xfId="0" applyFont="1" applyBorder="1" applyAlignment="1" applyProtection="1">
      <alignment horizontal="justify" vertical="top"/>
      <protection locked="0"/>
    </xf>
    <xf numFmtId="0" fontId="97" fillId="0" borderId="112" xfId="0" applyFont="1" applyBorder="1" applyAlignment="1" applyProtection="1">
      <alignment horizontal="justify" vertical="top"/>
      <protection locked="0"/>
    </xf>
    <xf numFmtId="0" fontId="97" fillId="0" borderId="65" xfId="0" applyFont="1" applyBorder="1" applyAlignment="1" applyProtection="1">
      <alignment horizontal="justify" vertical="top"/>
      <protection locked="0"/>
    </xf>
    <xf numFmtId="0" fontId="97" fillId="0" borderId="17" xfId="0" applyFont="1" applyBorder="1" applyAlignment="1" applyProtection="1">
      <alignment horizontal="justify" vertical="top"/>
      <protection locked="0"/>
    </xf>
    <xf numFmtId="0" fontId="97" fillId="0" borderId="20" xfId="0" applyFont="1" applyBorder="1" applyAlignment="1" applyProtection="1">
      <alignment horizontal="justify" vertical="top"/>
      <protection locked="0"/>
    </xf>
    <xf numFmtId="0" fontId="94" fillId="13" borderId="13" xfId="0" applyFont="1" applyFill="1" applyBorder="1" applyAlignment="1">
      <alignment horizontal="center" vertical="center"/>
    </xf>
    <xf numFmtId="0" fontId="94" fillId="13" borderId="14" xfId="0" applyFont="1" applyFill="1" applyBorder="1" applyAlignment="1">
      <alignment horizontal="center" vertical="center"/>
    </xf>
    <xf numFmtId="0" fontId="94" fillId="13" borderId="15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left"/>
    </xf>
    <xf numFmtId="0" fontId="69" fillId="0" borderId="74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2" xfId="0" applyFont="1" applyBorder="1" applyAlignment="1">
      <alignment horizontal="left"/>
    </xf>
    <xf numFmtId="0" fontId="69" fillId="0" borderId="43" xfId="0" applyFont="1" applyBorder="1" applyAlignment="1">
      <alignment horizontal="center"/>
    </xf>
    <xf numFmtId="0" fontId="69" fillId="0" borderId="22" xfId="0" applyFont="1" applyBorder="1" applyAlignment="1"/>
    <xf numFmtId="0" fontId="69" fillId="0" borderId="44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justify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justify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100" fillId="0" borderId="0" xfId="0" applyFont="1" applyBorder="1" applyAlignment="1" applyProtection="1">
      <alignment horizontal="center" vertical="center"/>
      <protection locked="0"/>
    </xf>
    <xf numFmtId="0" fontId="98" fillId="13" borderId="13" xfId="0" applyFont="1" applyFill="1" applyBorder="1" applyAlignment="1">
      <alignment horizontal="center"/>
    </xf>
    <xf numFmtId="0" fontId="98" fillId="13" borderId="14" xfId="0" applyFont="1" applyFill="1" applyBorder="1" applyAlignment="1">
      <alignment horizontal="center"/>
    </xf>
    <xf numFmtId="0" fontId="98" fillId="13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6">
    <cellStyle name="Moneda 2" xfId="1"/>
    <cellStyle name="Normal" xfId="0" builtinId="0"/>
    <cellStyle name="Normal 2" xfId="2"/>
    <cellStyle name="Normal 2 2" xfId="3"/>
    <cellStyle name="Normal 3" xfId="4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14</xdr:col>
      <xdr:colOff>152400</xdr:colOff>
      <xdr:row>5</xdr:row>
      <xdr:rowOff>28575</xdr:rowOff>
    </xdr:to>
    <xdr:pic>
      <xdr:nvPicPr>
        <xdr:cNvPr id="4099" name="Picture 6" descr="LOGO COLEGIO DE TCOS">
          <a:extLst>
            <a:ext uri="{FF2B5EF4-FFF2-40B4-BE49-F238E27FC236}">
              <a16:creationId xmlns:a16="http://schemas.microsoft.com/office/drawing/2014/main" xmlns="" id="{7CB48A2E-706C-4BDB-BAAA-1B001560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192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3416</xdr:colOff>
      <xdr:row>86</xdr:row>
      <xdr:rowOff>120601</xdr:rowOff>
    </xdr:from>
    <xdr:to>
      <xdr:col>63</xdr:col>
      <xdr:colOff>6154</xdr:colOff>
      <xdr:row>100</xdr:row>
      <xdr:rowOff>96932</xdr:rowOff>
    </xdr:to>
    <xdr:sp macro="" textlink="">
      <xdr:nvSpPr>
        <xdr:cNvPr id="4351" name="WordArt 9">
          <a:extLst>
            <a:ext uri="{FF2B5EF4-FFF2-40B4-BE49-F238E27FC236}">
              <a16:creationId xmlns:a16="http://schemas.microsoft.com/office/drawing/2014/main" xmlns="" id="{B7702D0F-26D3-485F-B05D-0C75DF791E6A}"/>
            </a:ext>
          </a:extLst>
        </xdr:cNvPr>
        <xdr:cNvSpPr>
          <a:spLocks noChangeArrowheads="1" noChangeShapeType="1"/>
        </xdr:cNvSpPr>
      </xdr:nvSpPr>
      <xdr:spPr bwMode="auto">
        <a:xfrm rot="-1707521">
          <a:off x="4775982" y="12217644"/>
          <a:ext cx="3201864" cy="212114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82296" tIns="59436" rIns="8229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es-AR" sz="3000" b="0" i="1" u="none" strike="noStrike" baseline="0">
              <a:solidFill>
                <a:srgbClr val="C0C0C0"/>
              </a:solidFill>
              <a:latin typeface="Castellar"/>
            </a:rPr>
            <a:t>C.T.P.B.A.</a:t>
          </a:r>
        </a:p>
        <a:p>
          <a:pPr algn="ctr" rtl="0">
            <a:lnSpc>
              <a:spcPts val="2200"/>
            </a:lnSpc>
            <a:defRPr sz="1000"/>
          </a:pPr>
          <a:r>
            <a:rPr lang="es-AR" sz="3000" b="0" i="1" u="none" strike="noStrike" baseline="0">
              <a:solidFill>
                <a:srgbClr val="C0C0C0"/>
              </a:solidFill>
              <a:latin typeface="Castellar"/>
            </a:rPr>
            <a:t>Distrito I</a:t>
          </a:r>
        </a:p>
        <a:p>
          <a:pPr algn="ctr" rtl="0">
            <a:lnSpc>
              <a:spcPts val="2200"/>
            </a:lnSpc>
            <a:defRPr sz="1000"/>
          </a:pPr>
          <a:r>
            <a:rPr lang="es-AR" sz="3000" b="0" i="1" u="none" strike="noStrike" baseline="0">
              <a:solidFill>
                <a:srgbClr val="C0C0C0"/>
              </a:solidFill>
              <a:latin typeface="Castellar"/>
            </a:rPr>
            <a:t> </a:t>
          </a:r>
        </a:p>
        <a:p>
          <a:pPr algn="ctr" rtl="0">
            <a:lnSpc>
              <a:spcPts val="2200"/>
            </a:lnSpc>
            <a:defRPr sz="1000"/>
          </a:pPr>
          <a:endParaRPr lang="es-AR" sz="3000" b="0" i="1" u="none" strike="noStrike" baseline="0">
            <a:solidFill>
              <a:srgbClr val="C0C0C0"/>
            </a:solidFill>
            <a:latin typeface="Castellar"/>
          </a:endParaRPr>
        </a:p>
        <a:p>
          <a:pPr algn="ctr" rtl="0">
            <a:lnSpc>
              <a:spcPts val="2200"/>
            </a:lnSpc>
            <a:defRPr sz="1000"/>
          </a:pPr>
          <a:endParaRPr lang="es-AR" sz="3000" b="0" i="1" u="none" strike="noStrike" baseline="0">
            <a:solidFill>
              <a:srgbClr val="C0C0C0"/>
            </a:solidFill>
            <a:latin typeface="Castellar"/>
          </a:endParaRPr>
        </a:p>
        <a:p>
          <a:pPr algn="ctr" rtl="0">
            <a:lnSpc>
              <a:spcPts val="2100"/>
            </a:lnSpc>
            <a:defRPr sz="1000"/>
          </a:pPr>
          <a:endParaRPr lang="es-AR" sz="3000" b="0" i="1" u="none" strike="noStrike" baseline="0">
            <a:solidFill>
              <a:srgbClr val="C0C0C0"/>
            </a:solidFill>
            <a:latin typeface="Castellar"/>
          </a:endParaRPr>
        </a:p>
        <a:p>
          <a:pPr algn="ctr" rtl="0">
            <a:lnSpc>
              <a:spcPts val="2200"/>
            </a:lnSpc>
            <a:defRPr sz="1000"/>
          </a:pPr>
          <a:endParaRPr lang="es-AR" sz="3000" b="0" i="1" u="none" strike="noStrike" baseline="0">
            <a:solidFill>
              <a:srgbClr val="C0C0C0"/>
            </a:solidFill>
            <a:latin typeface="Castella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102578</xdr:colOff>
      <xdr:row>67</xdr:row>
      <xdr:rowOff>58616</xdr:rowOff>
    </xdr:from>
    <xdr:to>
      <xdr:col>28</xdr:col>
      <xdr:colOff>82557</xdr:colOff>
      <xdr:row>75</xdr:row>
      <xdr:rowOff>123426</xdr:rowOff>
    </xdr:to>
    <xdr:sp macro="" textlink="">
      <xdr:nvSpPr>
        <xdr:cNvPr id="4" name="WordArt 9">
          <a:extLst>
            <a:ext uri="{FF2B5EF4-FFF2-40B4-BE49-F238E27FC236}">
              <a16:creationId xmlns:a16="http://schemas.microsoft.com/office/drawing/2014/main" xmlns="" id="{5A576FB5-E79A-4D20-AC3E-1FD61215152B}"/>
            </a:ext>
          </a:extLst>
        </xdr:cNvPr>
        <xdr:cNvSpPr>
          <a:spLocks noChangeArrowheads="1" noChangeShapeType="1"/>
        </xdr:cNvSpPr>
      </xdr:nvSpPr>
      <xdr:spPr bwMode="auto">
        <a:xfrm>
          <a:off x="454270" y="12038135"/>
          <a:ext cx="3088760" cy="145879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1440" tIns="68580" rIns="91440" bIns="0" anchor="t" upright="1"/>
        <a:lstStyle/>
        <a:p>
          <a:pPr algn="ctr" rtl="0">
            <a:defRPr sz="1000"/>
          </a:pPr>
          <a:r>
            <a:rPr lang="es-AR" sz="3000" b="0" i="1" u="none" strike="noStrike" baseline="0">
              <a:solidFill>
                <a:srgbClr val="C0C0C0"/>
              </a:solidFill>
              <a:latin typeface="Castellar"/>
            </a:rPr>
            <a:t>C.T.P.B.A.</a:t>
          </a:r>
        </a:p>
        <a:p>
          <a:pPr algn="ctr" rtl="0">
            <a:defRPr sz="1000"/>
          </a:pPr>
          <a:r>
            <a:rPr lang="es-AR" sz="3000" b="0" i="1" u="none" strike="noStrike" baseline="0">
              <a:solidFill>
                <a:srgbClr val="C0C0C0"/>
              </a:solidFill>
              <a:latin typeface="Castellar"/>
            </a:rPr>
            <a:t>Distrito I</a:t>
          </a:r>
        </a:p>
        <a:p>
          <a:pPr algn="ctr" rtl="0">
            <a:defRPr sz="1000"/>
          </a:pPr>
          <a:endParaRPr lang="es-AR" sz="3000" b="0" i="1" u="none" strike="noStrike" baseline="0">
            <a:solidFill>
              <a:srgbClr val="C0C0C0"/>
            </a:solidFill>
            <a:latin typeface="Castella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104775</xdr:colOff>
      <xdr:row>6</xdr:row>
      <xdr:rowOff>66675</xdr:rowOff>
    </xdr:to>
    <xdr:pic>
      <xdr:nvPicPr>
        <xdr:cNvPr id="6146" name="Imagen 2" descr="encabezado color">
          <a:extLst>
            <a:ext uri="{FF2B5EF4-FFF2-40B4-BE49-F238E27FC236}">
              <a16:creationId xmlns:a16="http://schemas.microsoft.com/office/drawing/2014/main" xmlns="" id="{9B41CE4E-24E9-41F2-B316-A2F38589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2</xdr:row>
      <xdr:rowOff>11430</xdr:rowOff>
    </xdr:from>
    <xdr:to>
      <xdr:col>12</xdr:col>
      <xdr:colOff>13</xdr:colOff>
      <xdr:row>7</xdr:row>
      <xdr:rowOff>76233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621A2332-583C-4B9E-B9FB-4413A6424902}"/>
            </a:ext>
          </a:extLst>
        </xdr:cNvPr>
        <xdr:cNvSpPr txBox="1">
          <a:spLocks noChangeArrowheads="1"/>
        </xdr:cNvSpPr>
      </xdr:nvSpPr>
      <xdr:spPr bwMode="auto"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es-ES" sz="2000" b="1" i="0" strike="noStrike">
              <a:solidFill>
                <a:srgbClr val="000000"/>
              </a:solidFill>
              <a:latin typeface="Arial"/>
              <a:cs typeface="Arial"/>
            </a:rPr>
            <a:t>IMPUESTO DE SELLOS</a:t>
          </a:r>
          <a:endParaRPr lang="es-E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200"/>
            </a:lnSpc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UBICACIÓN DE BIENES Y PRESTACIONES</a:t>
          </a:r>
        </a:p>
        <a:p>
          <a:pPr algn="ctr" rtl="0">
            <a:lnSpc>
              <a:spcPts val="1200"/>
            </a:lnSpc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Declaracion Jurada</a:t>
          </a:r>
        </a:p>
        <a:p>
          <a:pPr algn="ctr" rtl="0">
            <a:lnSpc>
              <a:spcPts val="1100"/>
            </a:lnSpc>
            <a:defRPr sz="1000"/>
          </a:pPr>
          <a:endParaRPr lang="es-E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7177" name="Picture 2">
          <a:extLst>
            <a:ext uri="{FF2B5EF4-FFF2-40B4-BE49-F238E27FC236}">
              <a16:creationId xmlns:a16="http://schemas.microsoft.com/office/drawing/2014/main" xmlns="" id="{9950F7C1-3934-4AC1-B914-7C7B823E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04800"/>
          <a:ext cx="1104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0</xdr:rowOff>
    </xdr:from>
    <xdr:to>
      <xdr:col>12</xdr:col>
      <xdr:colOff>228600</xdr:colOff>
      <xdr:row>2</xdr:row>
      <xdr:rowOff>76200</xdr:rowOff>
    </xdr:to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xmlns="" id="{E1916C88-FAB7-44E0-AD4E-E59553E4B0A9}"/>
            </a:ext>
          </a:extLst>
        </xdr:cNvPr>
        <xdr:cNvSpPr txBox="1">
          <a:spLocks noChangeArrowheads="1"/>
        </xdr:cNvSpPr>
      </xdr:nvSpPr>
      <xdr:spPr bwMode="auto">
        <a:xfrm>
          <a:off x="4724400" y="1714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485775</xdr:colOff>
      <xdr:row>1</xdr:row>
      <xdr:rowOff>123825</xdr:rowOff>
    </xdr:from>
    <xdr:to>
      <xdr:col>12</xdr:col>
      <xdr:colOff>790575</xdr:colOff>
      <xdr:row>3</xdr:row>
      <xdr:rowOff>104775</xdr:rowOff>
    </xdr:to>
    <xdr:sp macro="" textlink="">
      <xdr:nvSpPr>
        <xdr:cNvPr id="7179" name="Rectangle 4">
          <a:extLst>
            <a:ext uri="{FF2B5EF4-FFF2-40B4-BE49-F238E27FC236}">
              <a16:creationId xmlns:a16="http://schemas.microsoft.com/office/drawing/2014/main" xmlns="" id="{55DC5569-2282-4249-A404-91807440045F}"/>
            </a:ext>
          </a:extLst>
        </xdr:cNvPr>
        <xdr:cNvSpPr>
          <a:spLocks noChangeArrowheads="1"/>
        </xdr:cNvSpPr>
      </xdr:nvSpPr>
      <xdr:spPr bwMode="auto">
        <a:xfrm>
          <a:off x="5172075" y="295275"/>
          <a:ext cx="2381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1</xdr:row>
      <xdr:rowOff>0</xdr:rowOff>
    </xdr:from>
    <xdr:to>
      <xdr:col>13</xdr:col>
      <xdr:colOff>228600</xdr:colOff>
      <xdr:row>2</xdr:row>
      <xdr:rowOff>76200</xdr:rowOff>
    </xdr:to>
    <xdr:sp macro="" textlink="">
      <xdr:nvSpPr>
        <xdr:cNvPr id="7180" name="Text Box 5">
          <a:extLst>
            <a:ext uri="{FF2B5EF4-FFF2-40B4-BE49-F238E27FC236}">
              <a16:creationId xmlns:a16="http://schemas.microsoft.com/office/drawing/2014/main" xmlns="" id="{E76BD436-2794-4ED6-A56A-7B3B2537FCDB}"/>
            </a:ext>
          </a:extLst>
        </xdr:cNvPr>
        <xdr:cNvSpPr txBox="1">
          <a:spLocks noChangeArrowheads="1"/>
        </xdr:cNvSpPr>
      </xdr:nvSpPr>
      <xdr:spPr bwMode="auto">
        <a:xfrm>
          <a:off x="5448300" y="1714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1</xdr:row>
      <xdr:rowOff>123825</xdr:rowOff>
    </xdr:from>
    <xdr:to>
      <xdr:col>13</xdr:col>
      <xdr:colOff>790575</xdr:colOff>
      <xdr:row>3</xdr:row>
      <xdr:rowOff>104775</xdr:rowOff>
    </xdr:to>
    <xdr:sp macro="" textlink="">
      <xdr:nvSpPr>
        <xdr:cNvPr id="7181" name="Rectangle 6">
          <a:extLst>
            <a:ext uri="{FF2B5EF4-FFF2-40B4-BE49-F238E27FC236}">
              <a16:creationId xmlns:a16="http://schemas.microsoft.com/office/drawing/2014/main" xmlns="" id="{FFA4D15C-CA18-46D5-ABF9-2956217CF185}"/>
            </a:ext>
          </a:extLst>
        </xdr:cNvPr>
        <xdr:cNvSpPr>
          <a:spLocks noChangeArrowheads="1"/>
        </xdr:cNvSpPr>
      </xdr:nvSpPr>
      <xdr:spPr bwMode="auto">
        <a:xfrm>
          <a:off x="5876925" y="2952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13</xdr:row>
      <xdr:rowOff>76200</xdr:rowOff>
    </xdr:from>
    <xdr:to>
      <xdr:col>1</xdr:col>
      <xdr:colOff>247650</xdr:colOff>
      <xdr:row>14</xdr:row>
      <xdr:rowOff>152400</xdr:rowOff>
    </xdr:to>
    <xdr:sp macro="" textlink="">
      <xdr:nvSpPr>
        <xdr:cNvPr id="7182" name="Text Box 9">
          <a:extLst>
            <a:ext uri="{FF2B5EF4-FFF2-40B4-BE49-F238E27FC236}">
              <a16:creationId xmlns:a16="http://schemas.microsoft.com/office/drawing/2014/main" xmlns="" id="{CE6433CC-807C-44FE-8A3B-01CBEDD6FD0E}"/>
            </a:ext>
          </a:extLst>
        </xdr:cNvPr>
        <xdr:cNvSpPr txBox="1">
          <a:spLocks noChangeArrowheads="1"/>
        </xdr:cNvSpPr>
      </xdr:nvSpPr>
      <xdr:spPr bwMode="auto">
        <a:xfrm>
          <a:off x="276225" y="228600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8195" name="Rectangle 1">
          <a:extLst>
            <a:ext uri="{FF2B5EF4-FFF2-40B4-BE49-F238E27FC236}">
              <a16:creationId xmlns:a16="http://schemas.microsoft.com/office/drawing/2014/main" xmlns="" id="{BF9EA462-1330-4B8B-9174-068FCAA15DDA}"/>
            </a:ext>
          </a:extLst>
        </xdr:cNvPr>
        <xdr:cNvSpPr>
          <a:spLocks noChangeArrowheads="1"/>
        </xdr:cNvSpPr>
      </xdr:nvSpPr>
      <xdr:spPr bwMode="auto">
        <a:xfrm>
          <a:off x="6543675" y="788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8196" name="Picture 2" descr="LOGO COLEGIO DE TCOS">
          <a:extLst>
            <a:ext uri="{FF2B5EF4-FFF2-40B4-BE49-F238E27FC236}">
              <a16:creationId xmlns:a16="http://schemas.microsoft.com/office/drawing/2014/main" xmlns="" id="{D0A2101B-3277-41D0-B44D-F8DD9C35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9219" name="Rectangle 1">
          <a:extLst>
            <a:ext uri="{FF2B5EF4-FFF2-40B4-BE49-F238E27FC236}">
              <a16:creationId xmlns:a16="http://schemas.microsoft.com/office/drawing/2014/main" xmlns="" id="{27F0138B-3BB1-4B49-BC08-7DD55095536C}"/>
            </a:ext>
          </a:extLst>
        </xdr:cNvPr>
        <xdr:cNvSpPr>
          <a:spLocks noChangeArrowheads="1"/>
        </xdr:cNvSpPr>
      </xdr:nvSpPr>
      <xdr:spPr bwMode="auto">
        <a:xfrm>
          <a:off x="6543675" y="788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9220" name="Picture 2" descr="LOGO COLEGIO DE TCOS">
          <a:extLst>
            <a:ext uri="{FF2B5EF4-FFF2-40B4-BE49-F238E27FC236}">
              <a16:creationId xmlns:a16="http://schemas.microsoft.com/office/drawing/2014/main" xmlns="" id="{EDC1F719-0107-4944-9C7C-63913902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 macro="" textlink="">
      <xdr:nvSpPr>
        <xdr:cNvPr id="10243" name="Rectangle 1">
          <a:extLst>
            <a:ext uri="{FF2B5EF4-FFF2-40B4-BE49-F238E27FC236}">
              <a16:creationId xmlns:a16="http://schemas.microsoft.com/office/drawing/2014/main" xmlns="" id="{8337C89B-4B2B-4B9E-AC4B-F31D239A9802}"/>
            </a:ext>
          </a:extLst>
        </xdr:cNvPr>
        <xdr:cNvSpPr>
          <a:spLocks noChangeArrowheads="1"/>
        </xdr:cNvSpPr>
      </xdr:nvSpPr>
      <xdr:spPr bwMode="auto">
        <a:xfrm>
          <a:off x="6543675" y="788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10244" name="Picture 2" descr="LOGO COLEGIO DE TCOS">
          <a:extLst>
            <a:ext uri="{FF2B5EF4-FFF2-40B4-BE49-F238E27FC236}">
              <a16:creationId xmlns:a16="http://schemas.microsoft.com/office/drawing/2014/main" xmlns="" id="{0C03AFDE-691B-4BDF-BF08-306A30F9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38100</xdr:rowOff>
    </xdr:to>
    <xdr:pic>
      <xdr:nvPicPr>
        <xdr:cNvPr id="11266" name="Picture 2" descr="LOGO COLEGIO DE TCOS">
          <a:extLst>
            <a:ext uri="{FF2B5EF4-FFF2-40B4-BE49-F238E27FC236}">
              <a16:creationId xmlns:a16="http://schemas.microsoft.com/office/drawing/2014/main" xmlns="" id="{9E1A661C-6998-417E-9AC7-2E78569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LANDO/Downloads/Funcion-numeros-a-letras-mas-moned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uncion-numeros-a-letras-mas-mo"/>
    </sheetNames>
    <definedNames>
      <definedName name="NumLetras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I18" sqref="I18"/>
    </sheetView>
  </sheetViews>
  <sheetFormatPr baseColWidth="10" defaultColWidth="9.140625" defaultRowHeight="12.75"/>
  <cols>
    <col min="1" max="256" width="11.42578125" customWidth="1"/>
  </cols>
  <sheetData>
    <row r="1" spans="1:11">
      <c r="A1" s="763"/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</row>
    <row r="3" spans="1:11">
      <c r="A3" s="763"/>
      <c r="B3" s="763"/>
      <c r="C3" s="763"/>
      <c r="D3" s="763"/>
      <c r="E3" s="763"/>
      <c r="F3" s="763"/>
      <c r="G3" s="763"/>
      <c r="H3" s="763"/>
      <c r="I3" s="763"/>
      <c r="J3" s="763"/>
      <c r="K3" s="763"/>
    </row>
    <row r="4" spans="1:11" ht="30">
      <c r="A4" s="763"/>
      <c r="B4" s="764" t="s">
        <v>591</v>
      </c>
      <c r="C4" s="763"/>
      <c r="D4" s="763"/>
      <c r="E4" s="763"/>
      <c r="F4" s="763"/>
      <c r="G4" s="763"/>
      <c r="H4" s="763"/>
      <c r="I4" s="763"/>
      <c r="J4" s="763"/>
      <c r="K4" s="763"/>
    </row>
    <row r="5" spans="1:11">
      <c r="A5" s="763"/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>
      <c r="A6" s="763"/>
      <c r="B6" s="763"/>
      <c r="C6" s="763"/>
      <c r="D6" s="763"/>
      <c r="E6" s="763"/>
      <c r="F6" s="763"/>
      <c r="G6" s="763"/>
      <c r="H6" s="763"/>
      <c r="I6" s="763"/>
      <c r="J6" s="763"/>
      <c r="K6" s="763"/>
    </row>
    <row r="7" spans="1:11">
      <c r="A7" s="763"/>
      <c r="B7" s="763"/>
      <c r="C7" s="763"/>
      <c r="D7" s="763"/>
      <c r="E7" s="763"/>
      <c r="F7" s="763"/>
      <c r="G7" s="763"/>
      <c r="H7" s="763"/>
      <c r="I7" s="763"/>
      <c r="J7" s="763"/>
      <c r="K7" s="763"/>
    </row>
    <row r="8" spans="1:11">
      <c r="A8" s="763"/>
      <c r="B8" s="763"/>
      <c r="C8" s="763"/>
      <c r="D8" s="763"/>
      <c r="E8" s="763"/>
      <c r="F8" s="763"/>
      <c r="G8" s="763"/>
      <c r="H8" s="763"/>
      <c r="I8" s="763"/>
      <c r="J8" s="763"/>
      <c r="K8" s="763"/>
    </row>
    <row r="9" spans="1:11" ht="34.5">
      <c r="A9" s="945" t="s">
        <v>592</v>
      </c>
      <c r="B9" s="945"/>
      <c r="C9" s="945"/>
      <c r="D9" s="945"/>
      <c r="E9" s="945"/>
      <c r="F9" s="945"/>
      <c r="G9" s="945"/>
      <c r="H9" s="946"/>
      <c r="I9" s="765"/>
      <c r="J9" s="765"/>
      <c r="K9" s="765"/>
    </row>
    <row r="10" spans="1:11">
      <c r="A10" s="763"/>
      <c r="B10" s="763"/>
      <c r="C10" s="763"/>
      <c r="D10" s="763"/>
      <c r="E10" s="763"/>
      <c r="F10" s="763"/>
      <c r="G10" s="763"/>
      <c r="H10" s="763"/>
      <c r="I10" s="763"/>
      <c r="J10" s="763"/>
      <c r="K10" s="763"/>
    </row>
    <row r="11" spans="1:11">
      <c r="A11" s="763"/>
      <c r="B11" s="763"/>
      <c r="C11" s="763"/>
      <c r="D11" s="763"/>
      <c r="E11" s="763"/>
      <c r="F11" s="763"/>
      <c r="G11" s="763"/>
      <c r="H11" s="763"/>
      <c r="I11" s="763"/>
      <c r="J11" s="763"/>
      <c r="K11" s="763"/>
    </row>
    <row r="12" spans="1:11">
      <c r="A12" s="763"/>
      <c r="B12" s="763"/>
      <c r="C12" s="763"/>
      <c r="D12" s="763"/>
      <c r="E12" s="763"/>
      <c r="F12" s="763"/>
      <c r="G12" s="763"/>
      <c r="H12" s="763"/>
      <c r="I12" s="763"/>
      <c r="J12" s="763"/>
      <c r="K12" s="763"/>
    </row>
    <row r="13" spans="1:11" ht="30">
      <c r="A13" s="766" t="s">
        <v>593</v>
      </c>
      <c r="B13" s="767"/>
      <c r="C13" s="767"/>
      <c r="D13" s="767"/>
      <c r="E13" s="767"/>
      <c r="F13" s="767"/>
      <c r="G13" s="767"/>
      <c r="H13" s="767"/>
      <c r="I13" s="763"/>
      <c r="J13" s="763"/>
      <c r="K13" s="763"/>
    </row>
    <row r="14" spans="1:11" ht="13.5" thickBot="1">
      <c r="A14" s="763"/>
      <c r="B14" s="763"/>
      <c r="C14" s="763"/>
      <c r="D14" s="763"/>
      <c r="E14" s="763"/>
      <c r="F14" s="763"/>
      <c r="G14" s="763"/>
      <c r="H14" s="763"/>
      <c r="I14" s="763"/>
      <c r="J14" s="763"/>
      <c r="K14" s="763"/>
    </row>
    <row r="15" spans="1:11">
      <c r="A15" s="947" t="s">
        <v>594</v>
      </c>
      <c r="B15" s="948"/>
      <c r="C15" s="948"/>
      <c r="D15" s="948"/>
      <c r="E15" s="949"/>
      <c r="F15" s="763"/>
      <c r="G15" s="763"/>
      <c r="H15" s="763"/>
      <c r="I15" s="763"/>
      <c r="J15" s="763"/>
      <c r="K15" s="763"/>
    </row>
    <row r="16" spans="1:11" ht="18">
      <c r="A16" s="950"/>
      <c r="B16" s="951"/>
      <c r="C16" s="951"/>
      <c r="D16" s="951"/>
      <c r="E16" s="952"/>
      <c r="F16" s="768" t="s">
        <v>595</v>
      </c>
      <c r="G16" s="769"/>
      <c r="H16" s="763"/>
      <c r="I16" s="763"/>
      <c r="J16" s="763"/>
      <c r="K16" s="763"/>
    </row>
    <row r="17" spans="1:11">
      <c r="A17" s="950"/>
      <c r="B17" s="951"/>
      <c r="C17" s="951"/>
      <c r="D17" s="951"/>
      <c r="E17" s="952"/>
      <c r="F17" s="763"/>
      <c r="G17" s="763"/>
      <c r="H17" s="763"/>
      <c r="I17" s="763"/>
      <c r="J17" s="763"/>
      <c r="K17" s="763"/>
    </row>
    <row r="18" spans="1:11" ht="13.5" thickBot="1">
      <c r="A18" s="953"/>
      <c r="B18" s="954"/>
      <c r="C18" s="954"/>
      <c r="D18" s="954"/>
      <c r="E18" s="955"/>
      <c r="F18" s="763"/>
      <c r="G18" s="763"/>
      <c r="H18" s="763"/>
      <c r="I18" s="763"/>
      <c r="J18" s="763"/>
      <c r="K18" s="763"/>
    </row>
    <row r="19" spans="1:11">
      <c r="A19" s="763"/>
      <c r="B19" s="763"/>
      <c r="C19" s="763"/>
      <c r="D19" s="763"/>
      <c r="E19" s="763"/>
      <c r="F19" s="763"/>
      <c r="G19" s="763"/>
      <c r="H19" s="763"/>
      <c r="I19" s="763"/>
      <c r="J19" s="763"/>
      <c r="K19" s="763"/>
    </row>
    <row r="20" spans="1:11">
      <c r="A20" s="763"/>
      <c r="B20" s="763"/>
      <c r="C20" s="763"/>
      <c r="D20" s="763"/>
      <c r="E20" s="763"/>
      <c r="F20" s="763"/>
      <c r="G20" s="763"/>
      <c r="H20" s="763"/>
      <c r="I20" s="763"/>
      <c r="J20" s="763"/>
      <c r="K20" s="763"/>
    </row>
    <row r="21" spans="1:11" ht="25.5">
      <c r="A21" s="763"/>
      <c r="B21" s="770" t="s">
        <v>596</v>
      </c>
      <c r="C21" s="763"/>
      <c r="D21" s="763"/>
      <c r="E21" s="763"/>
      <c r="F21" s="763"/>
      <c r="G21" s="763"/>
      <c r="H21" s="763"/>
      <c r="I21" s="763"/>
      <c r="J21" s="763"/>
      <c r="K21" s="763"/>
    </row>
    <row r="22" spans="1:11">
      <c r="A22" s="763"/>
      <c r="B22" s="763"/>
      <c r="C22" s="763"/>
      <c r="D22" s="763"/>
      <c r="E22" s="763"/>
      <c r="F22" s="763"/>
      <c r="G22" s="763"/>
      <c r="H22" s="763"/>
      <c r="I22" s="763"/>
      <c r="J22" s="763"/>
      <c r="K22" s="763"/>
    </row>
    <row r="23" spans="1:11" ht="30">
      <c r="A23" s="763"/>
      <c r="B23" s="771" t="s">
        <v>597</v>
      </c>
      <c r="C23" s="772"/>
      <c r="D23" s="773" t="s">
        <v>598</v>
      </c>
      <c r="E23" s="772"/>
      <c r="F23" s="772"/>
      <c r="G23" s="772"/>
      <c r="H23" s="772"/>
      <c r="I23" s="772"/>
      <c r="J23" s="772"/>
      <c r="K23" s="772"/>
    </row>
    <row r="24" spans="1:11">
      <c r="A24" s="763"/>
      <c r="B24" s="763"/>
      <c r="C24" s="763"/>
      <c r="D24" s="763"/>
      <c r="E24" s="763"/>
      <c r="F24" s="774"/>
      <c r="G24" s="763"/>
      <c r="H24" s="763"/>
      <c r="I24" s="763"/>
      <c r="J24" s="763"/>
      <c r="K24" s="763"/>
    </row>
    <row r="25" spans="1:11" ht="22.5">
      <c r="A25" s="763"/>
      <c r="B25" s="768" t="s">
        <v>599</v>
      </c>
      <c r="C25" s="765"/>
      <c r="D25" s="763"/>
      <c r="E25" s="763"/>
      <c r="F25" s="774"/>
      <c r="G25" s="763"/>
      <c r="H25" s="763"/>
      <c r="I25" s="763"/>
      <c r="J25" s="763"/>
      <c r="K25" s="763"/>
    </row>
    <row r="26" spans="1:11" ht="22.5">
      <c r="A26" s="763"/>
      <c r="B26" s="763"/>
      <c r="C26" s="765"/>
      <c r="D26" s="763"/>
      <c r="E26" s="763"/>
      <c r="F26" s="763"/>
      <c r="G26" s="763"/>
      <c r="H26" s="763"/>
      <c r="I26" s="763"/>
      <c r="J26" s="763"/>
      <c r="K26" s="763"/>
    </row>
    <row r="27" spans="1:11">
      <c r="A27" s="763"/>
      <c r="B27" s="763"/>
      <c r="C27" s="763"/>
      <c r="D27" s="763"/>
      <c r="E27" s="763"/>
      <c r="F27" s="763"/>
      <c r="G27" s="763"/>
      <c r="H27" s="763"/>
      <c r="I27" s="763"/>
      <c r="J27" s="763"/>
      <c r="K27" s="763"/>
    </row>
    <row r="28" spans="1:11">
      <c r="A28" s="763"/>
      <c r="B28" s="763"/>
      <c r="C28" s="763"/>
      <c r="D28" s="763"/>
      <c r="E28" s="763"/>
      <c r="F28" s="775" t="s">
        <v>600</v>
      </c>
      <c r="G28" s="776"/>
      <c r="H28" s="776"/>
      <c r="I28" s="777"/>
      <c r="J28" s="763"/>
      <c r="K28" s="763"/>
    </row>
    <row r="29" spans="1:11">
      <c r="A29" s="763"/>
      <c r="B29" s="769" t="s">
        <v>601</v>
      </c>
      <c r="C29" s="769"/>
      <c r="D29" s="769"/>
      <c r="E29" s="769"/>
      <c r="F29" s="775" t="s">
        <v>602</v>
      </c>
      <c r="G29" s="776"/>
      <c r="H29" s="776"/>
      <c r="I29" s="777"/>
      <c r="J29" s="763"/>
      <c r="K29" s="763"/>
    </row>
    <row r="30" spans="1:11">
      <c r="A30" s="763"/>
      <c r="B30" s="763"/>
      <c r="C30" s="763"/>
      <c r="D30" s="763"/>
      <c r="E30" s="763"/>
      <c r="F30" s="775" t="s">
        <v>603</v>
      </c>
      <c r="G30" s="776"/>
      <c r="H30" s="776"/>
      <c r="I30" s="777"/>
      <c r="J30" s="763"/>
      <c r="K30" s="763"/>
    </row>
    <row r="31" spans="1:11">
      <c r="A31" s="763"/>
      <c r="B31" s="763"/>
      <c r="C31" s="763"/>
      <c r="D31" s="763"/>
      <c r="E31" s="763"/>
      <c r="F31" s="775" t="s">
        <v>228</v>
      </c>
      <c r="G31" s="776"/>
      <c r="H31" s="776"/>
      <c r="I31" s="777"/>
      <c r="J31" s="763"/>
      <c r="K31" s="763"/>
    </row>
    <row r="32" spans="1:11">
      <c r="A32" s="763"/>
      <c r="B32" s="763"/>
      <c r="C32" s="763"/>
      <c r="D32" s="763"/>
      <c r="E32" s="763"/>
      <c r="F32" s="763"/>
      <c r="G32" s="763"/>
      <c r="H32" s="763"/>
      <c r="I32" s="763"/>
      <c r="J32" s="763"/>
      <c r="K32" s="763"/>
    </row>
    <row r="33" spans="1:11">
      <c r="A33" s="763"/>
      <c r="B33" s="769" t="s">
        <v>604</v>
      </c>
      <c r="C33" s="763"/>
      <c r="D33" s="763"/>
      <c r="E33" s="763"/>
      <c r="F33" s="956" t="s">
        <v>515</v>
      </c>
      <c r="G33" s="956"/>
      <c r="H33" s="956"/>
      <c r="I33" s="956"/>
      <c r="J33" s="956"/>
      <c r="K33" s="957"/>
    </row>
    <row r="34" spans="1:11">
      <c r="A34" s="763"/>
      <c r="B34" s="769"/>
      <c r="C34" s="763"/>
      <c r="D34" s="763"/>
      <c r="E34" s="763"/>
      <c r="F34" s="778"/>
      <c r="G34" s="778"/>
      <c r="H34" s="778"/>
      <c r="I34" s="778"/>
      <c r="J34" s="778"/>
      <c r="K34" s="778"/>
    </row>
    <row r="35" spans="1:11" ht="20.25">
      <c r="A35" s="924" t="s">
        <v>316</v>
      </c>
      <c r="B35" s="925"/>
      <c r="C35" s="925"/>
      <c r="D35" s="925"/>
      <c r="E35" s="926"/>
      <c r="F35" s="958" t="s">
        <v>311</v>
      </c>
      <c r="G35" s="958"/>
      <c r="H35" s="958"/>
      <c r="I35" s="958"/>
      <c r="J35" s="958"/>
      <c r="K35" s="959"/>
    </row>
    <row r="36" spans="1:11" ht="20.25">
      <c r="A36" s="779"/>
      <c r="B36" s="779" t="s">
        <v>605</v>
      </c>
      <c r="C36" s="779"/>
      <c r="D36" s="780"/>
      <c r="E36" s="780"/>
      <c r="F36" s="781"/>
      <c r="G36" s="781"/>
      <c r="H36" s="781"/>
      <c r="I36" s="781"/>
      <c r="J36" s="781"/>
      <c r="K36" s="781"/>
    </row>
    <row r="37" spans="1:11" ht="13.5" thickBot="1">
      <c r="A37" s="763"/>
      <c r="B37" s="769"/>
      <c r="C37" s="763"/>
      <c r="D37" s="763"/>
      <c r="E37" s="763"/>
      <c r="F37" s="778"/>
      <c r="G37" s="778"/>
      <c r="H37" s="778"/>
      <c r="I37" s="778"/>
      <c r="J37" s="778"/>
      <c r="K37" s="778"/>
    </row>
    <row r="38" spans="1:11" ht="27" thickBot="1">
      <c r="A38" s="763"/>
      <c r="B38" s="763"/>
      <c r="C38" s="763"/>
      <c r="D38" s="763"/>
      <c r="E38" s="763"/>
      <c r="F38" s="937">
        <v>1.2</v>
      </c>
      <c r="G38" s="938"/>
      <c r="H38" s="938"/>
      <c r="I38" s="938"/>
      <c r="J38" s="938"/>
      <c r="K38" s="939"/>
    </row>
    <row r="39" spans="1:11" ht="27" thickBot="1">
      <c r="A39" s="940" t="s">
        <v>537</v>
      </c>
      <c r="B39" s="941"/>
      <c r="C39" s="941"/>
      <c r="D39" s="941"/>
      <c r="E39" s="942"/>
      <c r="F39" s="937">
        <v>1.3</v>
      </c>
      <c r="G39" s="938"/>
      <c r="H39" s="938"/>
      <c r="I39" s="938"/>
      <c r="J39" s="938"/>
      <c r="K39" s="939"/>
    </row>
    <row r="40" spans="1:11" ht="27" thickBot="1">
      <c r="A40" s="780"/>
      <c r="B40" s="780"/>
      <c r="C40" s="780"/>
      <c r="D40" s="780"/>
      <c r="E40" s="780"/>
      <c r="F40" s="937">
        <v>1.45</v>
      </c>
      <c r="G40" s="938"/>
      <c r="H40" s="938"/>
      <c r="I40" s="938"/>
      <c r="J40" s="938"/>
      <c r="K40" s="939"/>
    </row>
    <row r="41" spans="1:11">
      <c r="A41" s="763"/>
      <c r="B41" s="782" t="s">
        <v>606</v>
      </c>
      <c r="C41" s="772"/>
      <c r="D41" s="772"/>
      <c r="E41" s="772"/>
      <c r="F41" s="772"/>
      <c r="G41" s="763"/>
      <c r="H41" s="763"/>
      <c r="I41" s="763"/>
      <c r="J41" s="763"/>
      <c r="K41" s="763"/>
    </row>
    <row r="42" spans="1:11">
      <c r="A42" s="763"/>
      <c r="B42" s="763"/>
      <c r="C42" s="763"/>
      <c r="D42" s="763"/>
      <c r="E42" s="763"/>
      <c r="F42" s="763"/>
      <c r="G42" s="763"/>
      <c r="H42" s="763"/>
      <c r="I42" s="763"/>
      <c r="J42" s="763"/>
      <c r="K42" s="783"/>
    </row>
    <row r="43" spans="1:11">
      <c r="A43" s="763"/>
      <c r="B43" s="924" t="s">
        <v>178</v>
      </c>
      <c r="C43" s="925"/>
      <c r="D43" s="925"/>
      <c r="E43" s="925"/>
      <c r="F43" s="926"/>
      <c r="G43" s="943" t="s">
        <v>317</v>
      </c>
      <c r="H43" s="944"/>
      <c r="I43" s="785"/>
      <c r="J43" s="923"/>
      <c r="K43" s="784"/>
    </row>
    <row r="44" spans="1:11">
      <c r="A44" s="763"/>
      <c r="B44" s="786" t="s">
        <v>607</v>
      </c>
      <c r="C44" s="763"/>
      <c r="D44" s="763"/>
      <c r="E44" s="763"/>
      <c r="F44" s="763"/>
      <c r="G44" s="763"/>
      <c r="H44" s="763"/>
      <c r="I44" s="763"/>
      <c r="J44" s="763"/>
      <c r="K44" s="763"/>
    </row>
    <row r="45" spans="1:11">
      <c r="A45" s="763"/>
      <c r="B45" s="786" t="s">
        <v>608</v>
      </c>
      <c r="C45" s="769" t="s">
        <v>609</v>
      </c>
      <c r="D45" s="763"/>
      <c r="E45" s="763"/>
      <c r="F45" s="763"/>
      <c r="G45" s="763"/>
      <c r="H45" s="763"/>
      <c r="I45" s="763"/>
      <c r="J45" s="763"/>
      <c r="K45" s="783"/>
    </row>
    <row r="46" spans="1:11">
      <c r="A46" s="763"/>
      <c r="B46" s="924" t="s">
        <v>178</v>
      </c>
      <c r="C46" s="925"/>
      <c r="D46" s="925"/>
      <c r="E46" s="925"/>
      <c r="F46" s="926"/>
      <c r="G46" s="927" t="s">
        <v>315</v>
      </c>
      <c r="H46" s="928"/>
      <c r="I46" s="785"/>
      <c r="J46" s="923"/>
      <c r="K46" s="784"/>
    </row>
    <row r="47" spans="1:11">
      <c r="A47" s="763"/>
      <c r="B47" s="924" t="s">
        <v>610</v>
      </c>
      <c r="C47" s="925"/>
      <c r="D47" s="925"/>
      <c r="E47" s="925"/>
      <c r="F47" s="926"/>
      <c r="G47" s="931"/>
      <c r="H47" s="932"/>
      <c r="I47" s="788"/>
      <c r="J47" s="920"/>
      <c r="K47" s="787"/>
    </row>
    <row r="48" spans="1:11">
      <c r="A48" s="763"/>
      <c r="B48" s="924" t="s">
        <v>611</v>
      </c>
      <c r="C48" s="925"/>
      <c r="D48" s="925"/>
      <c r="E48" s="925"/>
      <c r="F48" s="926"/>
      <c r="G48" s="933"/>
      <c r="H48" s="934"/>
      <c r="I48" s="790"/>
      <c r="J48" s="921"/>
      <c r="K48" s="789"/>
    </row>
    <row r="49" spans="1:11" ht="15.75">
      <c r="A49" s="763"/>
      <c r="B49" s="924" t="s">
        <v>612</v>
      </c>
      <c r="C49" s="925"/>
      <c r="D49" s="925"/>
      <c r="E49" s="925"/>
      <c r="F49" s="926"/>
      <c r="G49" s="935"/>
      <c r="H49" s="936"/>
      <c r="I49" s="792"/>
      <c r="J49" s="922"/>
      <c r="K49" s="791"/>
    </row>
    <row r="50" spans="1:11">
      <c r="A50" s="763"/>
      <c r="B50" s="763"/>
      <c r="C50" s="763"/>
      <c r="D50" s="763"/>
      <c r="E50" s="763"/>
      <c r="F50" s="763"/>
      <c r="G50" s="763"/>
      <c r="H50" s="763"/>
      <c r="I50" s="763"/>
      <c r="J50" s="763"/>
      <c r="K50" s="783"/>
    </row>
    <row r="51" spans="1:11">
      <c r="A51" s="763"/>
      <c r="B51" s="763"/>
      <c r="C51" s="763"/>
      <c r="D51" s="763"/>
      <c r="E51" s="763"/>
      <c r="F51" s="763"/>
      <c r="G51" s="763"/>
      <c r="H51" s="793"/>
      <c r="I51" s="793"/>
      <c r="J51" s="793"/>
      <c r="K51" s="793"/>
    </row>
    <row r="52" spans="1:11" ht="18">
      <c r="A52" s="929" t="s">
        <v>613</v>
      </c>
      <c r="B52" s="930"/>
      <c r="C52" s="930"/>
      <c r="D52" s="930"/>
      <c r="E52" s="930"/>
      <c r="F52" s="930"/>
      <c r="G52" s="930"/>
      <c r="H52" s="930"/>
      <c r="I52" s="794"/>
      <c r="J52" s="794"/>
      <c r="K52" s="794"/>
    </row>
    <row r="53" spans="1:11">
      <c r="A53" s="763"/>
      <c r="B53" s="763"/>
      <c r="C53" s="763"/>
      <c r="D53" s="763"/>
      <c r="E53" s="763"/>
      <c r="F53" s="763"/>
      <c r="G53" s="763"/>
      <c r="H53" s="763"/>
      <c r="I53" s="763"/>
      <c r="J53" s="763"/>
      <c r="K53" s="763"/>
    </row>
  </sheetData>
  <mergeCells count="20">
    <mergeCell ref="A9:H9"/>
    <mergeCell ref="A15:E18"/>
    <mergeCell ref="F33:K33"/>
    <mergeCell ref="A35:E35"/>
    <mergeCell ref="F35:K35"/>
    <mergeCell ref="F38:K38"/>
    <mergeCell ref="A39:E39"/>
    <mergeCell ref="F39:K39"/>
    <mergeCell ref="F40:K40"/>
    <mergeCell ref="B43:F43"/>
    <mergeCell ref="G43:H43"/>
    <mergeCell ref="B46:F46"/>
    <mergeCell ref="G46:H46"/>
    <mergeCell ref="A52:H52"/>
    <mergeCell ref="B47:F47"/>
    <mergeCell ref="G47:H47"/>
    <mergeCell ref="B48:F48"/>
    <mergeCell ref="G48:H48"/>
    <mergeCell ref="B49:F49"/>
    <mergeCell ref="G49:H49"/>
  </mergeCells>
  <dataValidations count="3">
    <dataValidation type="list" allowBlank="1" showInputMessage="1" showErrorMessage="1" sqref="F38:F40">
      <formula1>$R$123:$R$125</formula1>
    </dataValidation>
    <dataValidation type="list" allowBlank="1" showInputMessage="1" showErrorMessage="1" sqref="I46:K46 G46 G43 I43:K43">
      <formula1>$Q$44:$Q$45</formula1>
    </dataValidation>
    <dataValidation type="list" allowBlank="1" showInputMessage="1" showErrorMessage="1" sqref="F35:F36">
      <formula1>$AA$10:$AA$11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F87"/>
  <sheetViews>
    <sheetView zoomScale="124" zoomScaleNormal="124" workbookViewId="0">
      <selection activeCell="AJ85" sqref="AJ85"/>
    </sheetView>
  </sheetViews>
  <sheetFormatPr baseColWidth="10" defaultColWidth="11.42578125" defaultRowHeight="12.75"/>
  <cols>
    <col min="1" max="1" width="9" style="350" customWidth="1"/>
    <col min="2" max="4" width="4" style="350" customWidth="1"/>
    <col min="5" max="5" width="2" style="350" customWidth="1"/>
    <col min="6" max="11" width="4" style="350" customWidth="1"/>
    <col min="12" max="12" width="6.42578125" style="350" customWidth="1"/>
    <col min="13" max="13" width="4" style="350" customWidth="1"/>
    <col min="14" max="14" width="6.7109375" style="350" customWidth="1"/>
    <col min="15" max="15" width="6" style="350" customWidth="1"/>
    <col min="16" max="16" width="5" style="350" customWidth="1"/>
    <col min="17" max="20" width="4" style="350" customWidth="1"/>
    <col min="21" max="21" width="7" style="350" customWidth="1"/>
    <col min="22" max="22" width="2.42578125" style="350" customWidth="1"/>
    <col min="23" max="23" width="4.140625" style="350" customWidth="1"/>
    <col min="24" max="24" width="3.85546875" style="350" customWidth="1"/>
    <col min="25" max="25" width="2.85546875" style="350" customWidth="1"/>
    <col min="26" max="26" width="3.5703125" style="350" customWidth="1"/>
    <col min="27" max="27" width="2.140625" style="350" customWidth="1"/>
    <col min="28" max="28" width="2.7109375" style="350" customWidth="1"/>
    <col min="29" max="16384" width="11.42578125" style="350"/>
  </cols>
  <sheetData>
    <row r="1" spans="1:27" ht="36.75" customHeight="1">
      <c r="A1" s="376"/>
      <c r="B1" s="377"/>
      <c r="C1" s="378"/>
      <c r="D1" s="1508" t="s">
        <v>373</v>
      </c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  <c r="P1" s="1508"/>
      <c r="Q1" s="1508"/>
      <c r="R1" s="1508"/>
      <c r="S1" s="1508"/>
      <c r="T1" s="1508"/>
      <c r="U1" s="1509"/>
      <c r="V1" s="1510" t="s">
        <v>374</v>
      </c>
      <c r="W1" s="1511"/>
      <c r="X1" s="377">
        <v>2</v>
      </c>
      <c r="Y1" s="379"/>
    </row>
    <row r="2" spans="1:27" ht="17.25" customHeight="1">
      <c r="A2" s="380"/>
      <c r="B2" s="381"/>
      <c r="C2" s="38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3"/>
      <c r="V2" s="1514" t="s">
        <v>105</v>
      </c>
      <c r="W2" s="1515"/>
      <c r="X2" s="381">
        <v>2</v>
      </c>
      <c r="Y2" s="383"/>
    </row>
    <row r="3" spans="1:27" ht="26.25" customHeight="1">
      <c r="A3" s="380"/>
      <c r="B3" s="381"/>
      <c r="C3" s="384"/>
      <c r="D3" s="1512" t="s">
        <v>375</v>
      </c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3"/>
      <c r="V3" s="385"/>
      <c r="W3" s="386"/>
      <c r="X3" s="387"/>
      <c r="Y3" s="383"/>
    </row>
    <row r="4" spans="1:27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7" ht="16.5" thickBot="1">
      <c r="A5" s="451" t="s">
        <v>376</v>
      </c>
      <c r="B5" s="394"/>
      <c r="C5" s="395"/>
      <c r="D5" s="1516" t="s">
        <v>377</v>
      </c>
      <c r="E5" s="1517"/>
      <c r="F5" s="1518" t="str">
        <f>DATOS!$G$27</f>
        <v>#</v>
      </c>
      <c r="G5" s="1505"/>
      <c r="H5" s="1505"/>
      <c r="I5" s="1505"/>
      <c r="J5" s="1505"/>
      <c r="K5" s="1505"/>
      <c r="L5" s="1505"/>
      <c r="M5" s="397" t="s">
        <v>378</v>
      </c>
      <c r="N5" s="396" t="str">
        <f>DATOS!$G$28</f>
        <v>#</v>
      </c>
      <c r="O5" s="398" t="s">
        <v>337</v>
      </c>
      <c r="P5" s="1505" t="str">
        <f>DATOS!$G$37</f>
        <v>#</v>
      </c>
      <c r="Q5" s="1505"/>
      <c r="R5" s="1519" t="s">
        <v>379</v>
      </c>
      <c r="S5" s="1519"/>
      <c r="T5" s="1505" t="str">
        <f>DATOS!$G$38</f>
        <v>#</v>
      </c>
      <c r="U5" s="1505"/>
      <c r="V5" s="399"/>
      <c r="W5" s="399"/>
      <c r="X5" s="399"/>
      <c r="Y5" s="400"/>
      <c r="Z5" s="401"/>
    </row>
    <row r="6" spans="1:27" ht="12.75" customHeight="1" thickBot="1">
      <c r="A6" s="1520" t="s">
        <v>380</v>
      </c>
      <c r="B6" s="1521"/>
      <c r="C6" s="1521"/>
      <c r="D6" s="1522" t="str">
        <f>DATOS!$G$29</f>
        <v>#</v>
      </c>
      <c r="E6" s="1522"/>
      <c r="F6" s="1522"/>
      <c r="G6" s="1522"/>
      <c r="H6" s="1522"/>
      <c r="I6" s="1522"/>
      <c r="J6" s="1522"/>
      <c r="K6" s="1522"/>
      <c r="L6" s="402" t="s">
        <v>381</v>
      </c>
      <c r="M6" s="1505" t="str">
        <f>DATOS!$G$30</f>
        <v>#</v>
      </c>
      <c r="N6" s="152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7" ht="12.75" customHeight="1">
      <c r="A7" s="1524"/>
      <c r="B7" s="1525"/>
      <c r="C7" s="1525"/>
      <c r="D7" s="1525"/>
      <c r="E7" s="1525"/>
      <c r="F7" s="1525"/>
      <c r="G7" s="1525"/>
      <c r="H7" s="1525"/>
      <c r="I7" s="1525"/>
      <c r="J7" s="1525"/>
      <c r="K7" s="1525"/>
      <c r="L7" s="1525"/>
      <c r="M7" s="1525"/>
      <c r="N7" s="1525"/>
      <c r="O7" s="1525"/>
      <c r="P7" s="1525"/>
      <c r="Q7" s="1525"/>
      <c r="R7" s="1525"/>
      <c r="S7" s="1525"/>
      <c r="T7" s="1525"/>
      <c r="U7" s="1525"/>
      <c r="V7" s="1525"/>
      <c r="W7" s="1525"/>
      <c r="X7" s="1525"/>
      <c r="Y7" s="1526"/>
    </row>
    <row r="8" spans="1:27" ht="12.75" customHeight="1">
      <c r="A8" s="1524"/>
      <c r="B8" s="1525"/>
      <c r="C8" s="1525"/>
      <c r="D8" s="1525"/>
      <c r="E8" s="1525"/>
      <c r="F8" s="1525"/>
      <c r="G8" s="1525"/>
      <c r="H8" s="1525"/>
      <c r="I8" s="1525"/>
      <c r="J8" s="1525"/>
      <c r="K8" s="1525"/>
      <c r="L8" s="1525"/>
      <c r="M8" s="1525"/>
      <c r="N8" s="1525"/>
      <c r="O8" s="1525"/>
      <c r="P8" s="1525"/>
      <c r="Q8" s="1525"/>
      <c r="R8" s="1525"/>
      <c r="S8" s="1525"/>
      <c r="T8" s="1525"/>
      <c r="U8" s="1525"/>
      <c r="V8" s="1525"/>
      <c r="W8" s="1525"/>
      <c r="X8" s="1525"/>
      <c r="Y8" s="1526"/>
    </row>
    <row r="9" spans="1:27" ht="12.75" customHeight="1">
      <c r="A9" s="1524"/>
      <c r="B9" s="1525"/>
      <c r="C9" s="1525"/>
      <c r="D9" s="1525"/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6"/>
    </row>
    <row r="10" spans="1:27" ht="12.75" customHeight="1">
      <c r="A10" s="1524"/>
      <c r="B10" s="1525"/>
      <c r="C10" s="1525"/>
      <c r="D10" s="1525"/>
      <c r="E10" s="1525"/>
      <c r="F10" s="1525"/>
      <c r="G10" s="1525"/>
      <c r="H10" s="1525"/>
      <c r="I10" s="1525"/>
      <c r="J10" s="1525"/>
      <c r="K10" s="1525"/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1525"/>
      <c r="Y10" s="1526"/>
    </row>
    <row r="11" spans="1:27" ht="12.75" customHeight="1">
      <c r="A11" s="1524"/>
      <c r="B11" s="1525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6"/>
      <c r="Z11" s="405"/>
      <c r="AA11" s="405"/>
    </row>
    <row r="12" spans="1:27" ht="12.75" customHeight="1">
      <c r="A12" s="1524"/>
      <c r="B12" s="1525"/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6"/>
    </row>
    <row r="13" spans="1:27" ht="12.75" customHeight="1">
      <c r="A13" s="1524"/>
      <c r="B13" s="1525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6"/>
    </row>
    <row r="14" spans="1:27" ht="12.75" customHeight="1">
      <c r="A14" s="1524"/>
      <c r="B14" s="1525"/>
      <c r="C14" s="1525"/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/>
      <c r="P14" s="1525"/>
      <c r="Q14" s="1525"/>
      <c r="R14" s="1525"/>
      <c r="S14" s="1525"/>
      <c r="T14" s="1525"/>
      <c r="U14" s="1525"/>
      <c r="V14" s="1525"/>
      <c r="W14" s="1525"/>
      <c r="X14" s="1525"/>
      <c r="Y14" s="1526"/>
    </row>
    <row r="15" spans="1:27" ht="12.75" customHeight="1">
      <c r="A15" s="1524"/>
      <c r="B15" s="1525"/>
      <c r="C15" s="1525"/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6"/>
    </row>
    <row r="16" spans="1:27" ht="12.75" customHeight="1">
      <c r="A16" s="1524"/>
      <c r="B16" s="1525"/>
      <c r="C16" s="1525"/>
      <c r="D16" s="1525"/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6"/>
    </row>
    <row r="17" spans="1:25" ht="12.75" customHeight="1">
      <c r="A17" s="1524"/>
      <c r="B17" s="1525"/>
      <c r="C17" s="1525"/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6"/>
    </row>
    <row r="18" spans="1:25" ht="12.75" customHeight="1">
      <c r="A18" s="1524"/>
      <c r="B18" s="1525"/>
      <c r="C18" s="1525"/>
      <c r="D18" s="1525"/>
      <c r="E18" s="1525"/>
      <c r="F18" s="1525"/>
      <c r="G18" s="1525"/>
      <c r="H18" s="1525"/>
      <c r="I18" s="1525"/>
      <c r="J18" s="1525"/>
      <c r="K18" s="1525"/>
      <c r="L18" s="1525"/>
      <c r="M18" s="1525"/>
      <c r="N18" s="1525"/>
      <c r="O18" s="1525"/>
      <c r="P18" s="1525"/>
      <c r="Q18" s="1525"/>
      <c r="R18" s="1525"/>
      <c r="S18" s="1525"/>
      <c r="T18" s="1525"/>
      <c r="U18" s="1525"/>
      <c r="V18" s="1525"/>
      <c r="W18" s="1525"/>
      <c r="X18" s="1525"/>
      <c r="Y18" s="1526"/>
    </row>
    <row r="19" spans="1:25" ht="12.75" customHeight="1">
      <c r="A19" s="1524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6"/>
    </row>
    <row r="20" spans="1:25" ht="12.75" customHeight="1">
      <c r="A20" s="1524"/>
      <c r="B20" s="1525"/>
      <c r="C20" s="1525"/>
      <c r="D20" s="1525"/>
      <c r="E20" s="1525"/>
      <c r="F20" s="1525"/>
      <c r="G20" s="1525"/>
      <c r="H20" s="1525"/>
      <c r="I20" s="1525"/>
      <c r="J20" s="1525"/>
      <c r="K20" s="1525"/>
      <c r="L20" s="1525"/>
      <c r="M20" s="1525"/>
      <c r="N20" s="1525"/>
      <c r="O20" s="1525"/>
      <c r="P20" s="1525"/>
      <c r="Q20" s="1525"/>
      <c r="R20" s="1525"/>
      <c r="S20" s="1525"/>
      <c r="T20" s="1525"/>
      <c r="U20" s="1525"/>
      <c r="V20" s="1525"/>
      <c r="W20" s="1525"/>
      <c r="X20" s="1525"/>
      <c r="Y20" s="1526"/>
    </row>
    <row r="21" spans="1:25" ht="12.75" customHeight="1">
      <c r="A21" s="1524"/>
      <c r="B21" s="1525"/>
      <c r="C21" s="1525"/>
      <c r="D21" s="1525"/>
      <c r="E21" s="1525"/>
      <c r="F21" s="1525"/>
      <c r="G21" s="1525"/>
      <c r="H21" s="1525"/>
      <c r="I21" s="1525"/>
      <c r="J21" s="1525"/>
      <c r="K21" s="1525"/>
      <c r="L21" s="1525"/>
      <c r="M21" s="1525"/>
      <c r="N21" s="1525"/>
      <c r="O21" s="1525"/>
      <c r="P21" s="1525"/>
      <c r="Q21" s="1525"/>
      <c r="R21" s="1525"/>
      <c r="S21" s="1525"/>
      <c r="T21" s="1525"/>
      <c r="U21" s="1525"/>
      <c r="V21" s="1525"/>
      <c r="W21" s="1525"/>
      <c r="X21" s="1525"/>
      <c r="Y21" s="1526"/>
    </row>
    <row r="22" spans="1:25" ht="12.75" customHeight="1">
      <c r="A22" s="1524"/>
      <c r="B22" s="1525"/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6"/>
    </row>
    <row r="23" spans="1:25" ht="12.75" customHeight="1">
      <c r="A23" s="1524"/>
      <c r="B23" s="1525"/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6"/>
    </row>
    <row r="24" spans="1:25" ht="12.75" customHeight="1">
      <c r="A24" s="1524"/>
      <c r="B24" s="1525"/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6"/>
    </row>
    <row r="25" spans="1:25" ht="12.75" customHeight="1">
      <c r="A25" s="1524"/>
      <c r="B25" s="1525"/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5"/>
      <c r="R25" s="1525"/>
      <c r="S25" s="1525"/>
      <c r="T25" s="1525"/>
      <c r="U25" s="1525"/>
      <c r="V25" s="1525"/>
      <c r="W25" s="1525"/>
      <c r="X25" s="1525"/>
      <c r="Y25" s="1526"/>
    </row>
    <row r="26" spans="1:25" ht="12.75" customHeight="1">
      <c r="A26" s="1524"/>
      <c r="B26" s="1525"/>
      <c r="C26" s="1525"/>
      <c r="D26" s="1525"/>
      <c r="E26" s="1525"/>
      <c r="F26" s="1525"/>
      <c r="G26" s="1525"/>
      <c r="H26" s="1525"/>
      <c r="I26" s="1525"/>
      <c r="J26" s="1525"/>
      <c r="K26" s="1525"/>
      <c r="L26" s="1525"/>
      <c r="M26" s="1525"/>
      <c r="N26" s="1525"/>
      <c r="O26" s="1525"/>
      <c r="P26" s="1525"/>
      <c r="Q26" s="1525"/>
      <c r="R26" s="1525"/>
      <c r="S26" s="1525"/>
      <c r="T26" s="1525"/>
      <c r="U26" s="1525"/>
      <c r="V26" s="1525"/>
      <c r="W26" s="1525"/>
      <c r="X26" s="1525"/>
      <c r="Y26" s="1526"/>
    </row>
    <row r="27" spans="1:25" ht="12.75" customHeight="1">
      <c r="A27" s="1524"/>
      <c r="B27" s="1525"/>
      <c r="C27" s="1525"/>
      <c r="D27" s="1525"/>
      <c r="E27" s="1525"/>
      <c r="F27" s="1525"/>
      <c r="G27" s="1525"/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6"/>
    </row>
    <row r="28" spans="1:25" ht="12.75" customHeight="1">
      <c r="A28" s="1524"/>
      <c r="B28" s="1525"/>
      <c r="C28" s="1525"/>
      <c r="D28" s="1525"/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6"/>
    </row>
    <row r="29" spans="1:25" ht="12.75" customHeight="1">
      <c r="A29" s="1524"/>
      <c r="B29" s="1525"/>
      <c r="C29" s="1525"/>
      <c r="D29" s="1525"/>
      <c r="E29" s="1525"/>
      <c r="F29" s="1525"/>
      <c r="G29" s="1525"/>
      <c r="H29" s="1525"/>
      <c r="I29" s="1525"/>
      <c r="J29" s="1525"/>
      <c r="K29" s="1525"/>
      <c r="L29" s="1525"/>
      <c r="M29" s="1525"/>
      <c r="N29" s="1525"/>
      <c r="O29" s="1525"/>
      <c r="P29" s="1525"/>
      <c r="Q29" s="1525"/>
      <c r="R29" s="1525"/>
      <c r="S29" s="1525"/>
      <c r="T29" s="1525"/>
      <c r="U29" s="1525"/>
      <c r="V29" s="1525"/>
      <c r="W29" s="1525"/>
      <c r="X29" s="1525"/>
      <c r="Y29" s="1526"/>
    </row>
    <row r="30" spans="1:25" ht="12.75" customHeight="1">
      <c r="A30" s="1524"/>
      <c r="B30" s="1525"/>
      <c r="C30" s="1525"/>
      <c r="D30" s="1525"/>
      <c r="E30" s="1525"/>
      <c r="F30" s="1525"/>
      <c r="G30" s="1525"/>
      <c r="H30" s="1525"/>
      <c r="I30" s="1525"/>
      <c r="J30" s="1525"/>
      <c r="K30" s="1525"/>
      <c r="L30" s="1525"/>
      <c r="M30" s="1525"/>
      <c r="N30" s="1525"/>
      <c r="O30" s="1525"/>
      <c r="P30" s="1525"/>
      <c r="Q30" s="1525"/>
      <c r="R30" s="1525"/>
      <c r="S30" s="1525"/>
      <c r="T30" s="1525"/>
      <c r="U30" s="1525"/>
      <c r="V30" s="1525"/>
      <c r="W30" s="1525"/>
      <c r="X30" s="1525"/>
      <c r="Y30" s="1526"/>
    </row>
    <row r="31" spans="1:25" ht="12.75" customHeight="1">
      <c r="A31" s="1524"/>
      <c r="B31" s="1525"/>
      <c r="C31" s="1525"/>
      <c r="D31" s="1525"/>
      <c r="E31" s="1525"/>
      <c r="F31" s="1525"/>
      <c r="G31" s="1525"/>
      <c r="H31" s="1525"/>
      <c r="I31" s="1525"/>
      <c r="J31" s="1525"/>
      <c r="K31" s="1525"/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6"/>
    </row>
    <row r="32" spans="1:25" ht="12.75" customHeight="1">
      <c r="A32" s="1524"/>
      <c r="B32" s="1525"/>
      <c r="C32" s="1525"/>
      <c r="D32" s="1525"/>
      <c r="E32" s="1525"/>
      <c r="F32" s="1525"/>
      <c r="G32" s="1525"/>
      <c r="H32" s="1525"/>
      <c r="I32" s="1525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6"/>
    </row>
    <row r="33" spans="1:32" ht="12.75" customHeight="1">
      <c r="A33" s="1524"/>
      <c r="B33" s="1525"/>
      <c r="C33" s="1525"/>
      <c r="D33" s="1525"/>
      <c r="E33" s="1525"/>
      <c r="F33" s="1525"/>
      <c r="G33" s="1525"/>
      <c r="H33" s="1525"/>
      <c r="I33" s="1525"/>
      <c r="J33" s="1525"/>
      <c r="K33" s="1525"/>
      <c r="L33" s="1525"/>
      <c r="M33" s="1525"/>
      <c r="N33" s="1525"/>
      <c r="O33" s="1525"/>
      <c r="P33" s="1525"/>
      <c r="Q33" s="1525"/>
      <c r="R33" s="1525"/>
      <c r="S33" s="1525"/>
      <c r="T33" s="1525"/>
      <c r="U33" s="1525"/>
      <c r="V33" s="1525"/>
      <c r="W33" s="1525"/>
      <c r="X33" s="1525"/>
      <c r="Y33" s="1526"/>
    </row>
    <row r="34" spans="1:32" ht="12.75" customHeight="1">
      <c r="A34" s="1524"/>
      <c r="B34" s="1525"/>
      <c r="C34" s="1525"/>
      <c r="D34" s="1525"/>
      <c r="E34" s="1525"/>
      <c r="F34" s="1525"/>
      <c r="G34" s="1525"/>
      <c r="H34" s="1525"/>
      <c r="I34" s="1525"/>
      <c r="J34" s="1525"/>
      <c r="K34" s="1525"/>
      <c r="L34" s="1525"/>
      <c r="M34" s="1525"/>
      <c r="N34" s="1525"/>
      <c r="O34" s="1525"/>
      <c r="P34" s="1525"/>
      <c r="Q34" s="1525"/>
      <c r="R34" s="1525"/>
      <c r="S34" s="1525"/>
      <c r="T34" s="1525"/>
      <c r="U34" s="1525"/>
      <c r="V34" s="1525"/>
      <c r="W34" s="1525"/>
      <c r="X34" s="1525"/>
      <c r="Y34" s="1526"/>
    </row>
    <row r="35" spans="1:32" ht="12.75" customHeight="1">
      <c r="A35" s="1524"/>
      <c r="B35" s="1525"/>
      <c r="C35" s="1525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5"/>
      <c r="Q35" s="1525"/>
      <c r="R35" s="1525"/>
      <c r="S35" s="1525"/>
      <c r="T35" s="1525"/>
      <c r="U35" s="1525"/>
      <c r="V35" s="1525"/>
      <c r="W35" s="1525"/>
      <c r="X35" s="1525"/>
      <c r="Y35" s="1526"/>
    </row>
    <row r="36" spans="1:32" ht="12.75" customHeight="1">
      <c r="A36" s="1524"/>
      <c r="B36" s="1525"/>
      <c r="C36" s="1525"/>
      <c r="D36" s="1525"/>
      <c r="E36" s="1525"/>
      <c r="F36" s="1525"/>
      <c r="G36" s="1525"/>
      <c r="H36" s="1525"/>
      <c r="I36" s="1525"/>
      <c r="J36" s="1525"/>
      <c r="K36" s="1525"/>
      <c r="L36" s="1525"/>
      <c r="M36" s="1525"/>
      <c r="N36" s="1525"/>
      <c r="O36" s="1525"/>
      <c r="P36" s="1525"/>
      <c r="Q36" s="1525"/>
      <c r="R36" s="1525"/>
      <c r="S36" s="1525"/>
      <c r="T36" s="1525"/>
      <c r="U36" s="1525"/>
      <c r="V36" s="1525"/>
      <c r="W36" s="1525"/>
      <c r="X36" s="1525"/>
      <c r="Y36" s="1526"/>
    </row>
    <row r="37" spans="1:32" ht="12.75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6"/>
    </row>
    <row r="38" spans="1:32" ht="12.75" customHeight="1">
      <c r="A38" s="1524"/>
      <c r="B38" s="1525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5"/>
      <c r="Q38" s="1525"/>
      <c r="R38" s="1525"/>
      <c r="S38" s="1525"/>
      <c r="T38" s="1525"/>
      <c r="U38" s="1525"/>
      <c r="V38" s="1525"/>
      <c r="W38" s="1525"/>
      <c r="X38" s="1525"/>
      <c r="Y38" s="1526"/>
    </row>
    <row r="39" spans="1:32" ht="12.75" customHeight="1">
      <c r="A39" s="1524"/>
      <c r="B39" s="1525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5"/>
      <c r="Q39" s="1525"/>
      <c r="R39" s="1525"/>
      <c r="S39" s="1525"/>
      <c r="T39" s="1525"/>
      <c r="U39" s="1525"/>
      <c r="V39" s="1525"/>
      <c r="W39" s="1525"/>
      <c r="X39" s="1525"/>
      <c r="Y39" s="1526"/>
    </row>
    <row r="40" spans="1:32" ht="12.75" customHeight="1">
      <c r="A40" s="1524"/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6"/>
    </row>
    <row r="41" spans="1:32" ht="12.75" customHeight="1">
      <c r="A41" s="1524"/>
      <c r="B41" s="1525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5"/>
      <c r="Q41" s="1525"/>
      <c r="R41" s="1525"/>
      <c r="S41" s="1525"/>
      <c r="T41" s="1525"/>
      <c r="U41" s="1525"/>
      <c r="V41" s="1525"/>
      <c r="W41" s="1525"/>
      <c r="X41" s="1525"/>
      <c r="Y41" s="1526"/>
    </row>
    <row r="42" spans="1:32" ht="12.75" customHeight="1">
      <c r="A42" s="1524"/>
      <c r="B42" s="1525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5"/>
      <c r="Q42" s="1525"/>
      <c r="R42" s="1525"/>
      <c r="S42" s="1525"/>
      <c r="T42" s="1525"/>
      <c r="U42" s="1525"/>
      <c r="V42" s="1525"/>
      <c r="W42" s="1525"/>
      <c r="X42" s="1525"/>
      <c r="Y42" s="1526"/>
    </row>
    <row r="43" spans="1:32" ht="12.75" customHeight="1">
      <c r="A43" s="1524"/>
      <c r="B43" s="1525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5"/>
      <c r="Q43" s="1525"/>
      <c r="R43" s="1525"/>
      <c r="S43" s="1525"/>
      <c r="T43" s="1525"/>
      <c r="U43" s="1525"/>
      <c r="V43" s="1525"/>
      <c r="W43" s="1525"/>
      <c r="X43" s="1525"/>
      <c r="Y43" s="1526"/>
    </row>
    <row r="44" spans="1:32" ht="12.75" customHeight="1">
      <c r="A44" s="1524"/>
      <c r="B44" s="1525"/>
      <c r="C44" s="1525"/>
      <c r="D44" s="1525"/>
      <c r="E44" s="1525"/>
      <c r="F44" s="1525"/>
      <c r="G44" s="1525"/>
      <c r="H44" s="1525"/>
      <c r="I44" s="1525"/>
      <c r="J44" s="1525"/>
      <c r="K44" s="1525"/>
      <c r="L44" s="1525"/>
      <c r="M44" s="1525"/>
      <c r="N44" s="1525"/>
      <c r="O44" s="1525"/>
      <c r="P44" s="1525"/>
      <c r="Q44" s="1525"/>
      <c r="R44" s="1525"/>
      <c r="S44" s="1525"/>
      <c r="T44" s="1525"/>
      <c r="U44" s="1525"/>
      <c r="V44" s="1525"/>
      <c r="W44" s="1525"/>
      <c r="X44" s="1525"/>
      <c r="Y44" s="1526"/>
      <c r="AF44" s="387"/>
    </row>
    <row r="45" spans="1:32" ht="12.75" customHeight="1">
      <c r="A45" s="1524"/>
      <c r="B45" s="1525"/>
      <c r="C45" s="1525"/>
      <c r="D45" s="1525"/>
      <c r="E45" s="1525"/>
      <c r="F45" s="1525"/>
      <c r="G45" s="1525"/>
      <c r="H45" s="1525"/>
      <c r="I45" s="1525"/>
      <c r="J45" s="1525"/>
      <c r="K45" s="1525"/>
      <c r="L45" s="1525"/>
      <c r="M45" s="1525"/>
      <c r="N45" s="1525"/>
      <c r="O45" s="1525"/>
      <c r="P45" s="1525"/>
      <c r="Q45" s="1525"/>
      <c r="R45" s="1525"/>
      <c r="S45" s="1525"/>
      <c r="T45" s="1525"/>
      <c r="U45" s="1525"/>
      <c r="V45" s="1525"/>
      <c r="W45" s="1525"/>
      <c r="X45" s="1525"/>
      <c r="Y45" s="1526"/>
    </row>
    <row r="46" spans="1:32" ht="15" customHeight="1">
      <c r="A46" s="1524"/>
      <c r="B46" s="1525"/>
      <c r="C46" s="1525"/>
      <c r="D46" s="1525"/>
      <c r="E46" s="1525"/>
      <c r="F46" s="1525"/>
      <c r="G46" s="1525"/>
      <c r="H46" s="1525"/>
      <c r="I46" s="1525"/>
      <c r="J46" s="1525"/>
      <c r="K46" s="1525"/>
      <c r="L46" s="1525"/>
      <c r="M46" s="1525"/>
      <c r="N46" s="1525"/>
      <c r="O46" s="1525"/>
      <c r="P46" s="1525"/>
      <c r="Q46" s="1525"/>
      <c r="R46" s="1525"/>
      <c r="S46" s="1525"/>
      <c r="T46" s="1525"/>
      <c r="U46" s="1525"/>
      <c r="V46" s="1525"/>
      <c r="W46" s="1525"/>
      <c r="X46" s="1525"/>
      <c r="Y46" s="1526"/>
    </row>
    <row r="47" spans="1:32" ht="15" customHeight="1">
      <c r="A47" s="1524"/>
      <c r="B47" s="1525"/>
      <c r="C47" s="1525"/>
      <c r="D47" s="1525"/>
      <c r="E47" s="1525"/>
      <c r="F47" s="1525"/>
      <c r="G47" s="1525"/>
      <c r="H47" s="1525"/>
      <c r="I47" s="1525"/>
      <c r="J47" s="1525"/>
      <c r="K47" s="1525"/>
      <c r="L47" s="1525"/>
      <c r="M47" s="1525"/>
      <c r="N47" s="1525"/>
      <c r="O47" s="1525"/>
      <c r="P47" s="1525"/>
      <c r="Q47" s="1525"/>
      <c r="R47" s="1525"/>
      <c r="S47" s="1525"/>
      <c r="T47" s="1525"/>
      <c r="U47" s="1525"/>
      <c r="V47" s="1525"/>
      <c r="W47" s="1525"/>
      <c r="X47" s="1525"/>
      <c r="Y47" s="1526"/>
    </row>
    <row r="48" spans="1:32" ht="15" customHeight="1">
      <c r="A48" s="1524"/>
      <c r="B48" s="1525"/>
      <c r="C48" s="1525"/>
      <c r="D48" s="1525"/>
      <c r="E48" s="1525"/>
      <c r="F48" s="1525"/>
      <c r="G48" s="1525"/>
      <c r="H48" s="1525"/>
      <c r="I48" s="1525"/>
      <c r="J48" s="1525"/>
      <c r="K48" s="1525"/>
      <c r="L48" s="1525"/>
      <c r="M48" s="1525"/>
      <c r="N48" s="1525"/>
      <c r="O48" s="1525"/>
      <c r="P48" s="1525"/>
      <c r="Q48" s="1525"/>
      <c r="R48" s="1525"/>
      <c r="S48" s="1525"/>
      <c r="T48" s="1525"/>
      <c r="U48" s="1525"/>
      <c r="V48" s="1525"/>
      <c r="W48" s="1525"/>
      <c r="X48" s="1525"/>
      <c r="Y48" s="1526"/>
    </row>
    <row r="49" spans="1:25" ht="15" customHeight="1">
      <c r="A49" s="1524"/>
      <c r="B49" s="1525"/>
      <c r="C49" s="1525"/>
      <c r="D49" s="1525"/>
      <c r="E49" s="1525"/>
      <c r="F49" s="1525"/>
      <c r="G49" s="1525"/>
      <c r="H49" s="1525"/>
      <c r="I49" s="1525"/>
      <c r="J49" s="1525"/>
      <c r="K49" s="1525"/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6"/>
    </row>
    <row r="50" spans="1:25" ht="15" customHeight="1">
      <c r="A50" s="1524"/>
      <c r="B50" s="1525"/>
      <c r="C50" s="1525"/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  <c r="V50" s="1525"/>
      <c r="W50" s="1525"/>
      <c r="X50" s="1525"/>
      <c r="Y50" s="1526"/>
    </row>
    <row r="51" spans="1:25" ht="15" customHeight="1">
      <c r="A51" s="1524"/>
      <c r="B51" s="1525"/>
      <c r="C51" s="1525"/>
      <c r="D51" s="1525"/>
      <c r="E51" s="1525"/>
      <c r="F51" s="1525"/>
      <c r="G51" s="1525"/>
      <c r="H51" s="1525"/>
      <c r="I51" s="1525"/>
      <c r="J51" s="1525"/>
      <c r="K51" s="1525"/>
      <c r="L51" s="1525"/>
      <c r="M51" s="1525"/>
      <c r="N51" s="1525"/>
      <c r="O51" s="1525"/>
      <c r="P51" s="1525"/>
      <c r="Q51" s="1525"/>
      <c r="R51" s="1525"/>
      <c r="S51" s="1525"/>
      <c r="T51" s="1525"/>
      <c r="U51" s="1525"/>
      <c r="V51" s="1525"/>
      <c r="W51" s="1525"/>
      <c r="X51" s="1525"/>
      <c r="Y51" s="1526"/>
    </row>
    <row r="52" spans="1:25" ht="15" customHeight="1">
      <c r="A52" s="1524"/>
      <c r="B52" s="1525"/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6"/>
    </row>
    <row r="53" spans="1:25" ht="15" customHeight="1">
      <c r="A53" s="1524"/>
      <c r="B53" s="1525"/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6"/>
    </row>
    <row r="54" spans="1:25" ht="15" customHeight="1">
      <c r="A54" s="1524"/>
      <c r="B54" s="1525"/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6"/>
    </row>
    <row r="55" spans="1:25" ht="15" customHeight="1">
      <c r="A55" s="1524"/>
      <c r="B55" s="1525"/>
      <c r="C55" s="1525"/>
      <c r="D55" s="1525"/>
      <c r="E55" s="1525"/>
      <c r="F55" s="1525"/>
      <c r="G55" s="1525"/>
      <c r="H55" s="1525"/>
      <c r="I55" s="1525"/>
      <c r="J55" s="1525"/>
      <c r="K55" s="1525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5"/>
      <c r="X55" s="1525"/>
      <c r="Y55" s="1526"/>
    </row>
    <row r="56" spans="1:25" ht="15" customHeight="1">
      <c r="A56" s="1524"/>
      <c r="B56" s="1525"/>
      <c r="C56" s="1525"/>
      <c r="D56" s="1525"/>
      <c r="E56" s="1525"/>
      <c r="F56" s="1525"/>
      <c r="G56" s="1525"/>
      <c r="H56" s="1525"/>
      <c r="I56" s="1525"/>
      <c r="J56" s="1525"/>
      <c r="K56" s="1525"/>
      <c r="L56" s="1525"/>
      <c r="M56" s="1525"/>
      <c r="N56" s="1525"/>
      <c r="O56" s="1525"/>
      <c r="P56" s="1525"/>
      <c r="Q56" s="1525"/>
      <c r="R56" s="1525"/>
      <c r="S56" s="1525"/>
      <c r="T56" s="1525"/>
      <c r="U56" s="1525"/>
      <c r="V56" s="1525"/>
      <c r="W56" s="1525"/>
      <c r="X56" s="1525"/>
      <c r="Y56" s="1526"/>
    </row>
    <row r="57" spans="1:25" ht="15" customHeight="1">
      <c r="A57" s="1524"/>
      <c r="B57" s="1525"/>
      <c r="C57" s="1525"/>
      <c r="D57" s="1525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6"/>
    </row>
    <row r="58" spans="1:25" ht="15" customHeight="1">
      <c r="A58" s="1524"/>
      <c r="B58" s="1525"/>
      <c r="C58" s="1525"/>
      <c r="D58" s="1525"/>
      <c r="E58" s="1525"/>
      <c r="F58" s="1525"/>
      <c r="G58" s="1525"/>
      <c r="H58" s="1525"/>
      <c r="I58" s="1525"/>
      <c r="J58" s="1525"/>
      <c r="K58" s="1525"/>
      <c r="L58" s="1525"/>
      <c r="M58" s="1525"/>
      <c r="N58" s="1525"/>
      <c r="O58" s="1525"/>
      <c r="P58" s="1525"/>
      <c r="Q58" s="1525"/>
      <c r="R58" s="1525"/>
      <c r="S58" s="1525"/>
      <c r="T58" s="1525"/>
      <c r="U58" s="1525"/>
      <c r="V58" s="1525"/>
      <c r="W58" s="1525"/>
      <c r="X58" s="1525"/>
      <c r="Y58" s="1526"/>
    </row>
    <row r="59" spans="1:25" ht="15" customHeight="1">
      <c r="A59" s="1524"/>
      <c r="B59" s="1525"/>
      <c r="C59" s="1525"/>
      <c r="D59" s="1525"/>
      <c r="E59" s="1525"/>
      <c r="F59" s="1525"/>
      <c r="G59" s="1525"/>
      <c r="H59" s="1525"/>
      <c r="I59" s="1525"/>
      <c r="J59" s="1525"/>
      <c r="K59" s="1525"/>
      <c r="L59" s="1525"/>
      <c r="M59" s="1525"/>
      <c r="N59" s="1525"/>
      <c r="O59" s="1525"/>
      <c r="P59" s="1525"/>
      <c r="Q59" s="1525"/>
      <c r="R59" s="1525"/>
      <c r="S59" s="1525"/>
      <c r="T59" s="1525"/>
      <c r="U59" s="1525"/>
      <c r="V59" s="1525"/>
      <c r="W59" s="1525"/>
      <c r="X59" s="1525"/>
      <c r="Y59" s="1526"/>
    </row>
    <row r="60" spans="1:25" ht="14.25" customHeight="1" thickBot="1">
      <c r="A60" s="1527"/>
      <c r="B60" s="1528"/>
      <c r="C60" s="1528"/>
      <c r="D60" s="1528"/>
      <c r="E60" s="1528"/>
      <c r="F60" s="1528"/>
      <c r="G60" s="1528"/>
      <c r="H60" s="1528"/>
      <c r="I60" s="1528"/>
      <c r="J60" s="1528"/>
      <c r="K60" s="1528"/>
      <c r="L60" s="1528"/>
      <c r="M60" s="1528"/>
      <c r="N60" s="1528"/>
      <c r="O60" s="1528"/>
      <c r="P60" s="1528"/>
      <c r="Q60" s="1528"/>
      <c r="R60" s="1528"/>
      <c r="S60" s="1528"/>
      <c r="T60" s="1528"/>
      <c r="U60" s="1528"/>
      <c r="V60" s="1528"/>
      <c r="W60" s="1528"/>
      <c r="X60" s="1528"/>
      <c r="Y60" s="1529"/>
    </row>
    <row r="61" spans="1:25" ht="15" hidden="1" customHeight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hidden="1" customHeight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hidden="1" customHeight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hidden="1" customHeight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hidden="1" customHeight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hidden="1" customHeight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hidden="1" customHeight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hidden="1" customHeight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hidden="1" customHeight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hidden="1" customHeight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hidden="1" customHeight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>
      <c r="A72" s="1530" t="s">
        <v>382</v>
      </c>
      <c r="B72" s="1531"/>
      <c r="C72" s="1506" t="s">
        <v>39</v>
      </c>
      <c r="D72" s="1506"/>
      <c r="E72" s="1506"/>
      <c r="F72" s="1506"/>
      <c r="G72" s="1506"/>
      <c r="H72" s="1506"/>
      <c r="I72" s="1506"/>
      <c r="J72" s="1506"/>
      <c r="K72" s="1506"/>
      <c r="L72" s="1506"/>
      <c r="M72" s="1506"/>
      <c r="N72" s="1506"/>
      <c r="O72" s="1506"/>
      <c r="P72" s="1506"/>
      <c r="Q72" s="1506"/>
      <c r="R72" s="1506"/>
      <c r="S72" s="1506"/>
      <c r="T72" s="1506"/>
      <c r="U72" s="1506"/>
      <c r="V72" s="1506"/>
      <c r="W72" s="1506"/>
      <c r="X72" s="1506"/>
      <c r="Y72" s="1507"/>
    </row>
    <row r="73" spans="1:25" ht="13.5" thickBot="1">
      <c r="A73" s="1477" t="s">
        <v>39</v>
      </c>
      <c r="B73" s="1478"/>
      <c r="C73" s="1478"/>
      <c r="D73" s="1478"/>
      <c r="E73" s="1478"/>
      <c r="F73" s="1478"/>
      <c r="G73" s="1478"/>
      <c r="H73" s="1478"/>
      <c r="I73" s="1478"/>
      <c r="J73" s="1478"/>
      <c r="K73" s="1478"/>
      <c r="L73" s="1478"/>
      <c r="M73" s="1478"/>
      <c r="N73" s="1478"/>
      <c r="O73" s="1478"/>
      <c r="P73" s="1478"/>
      <c r="Q73" s="1478"/>
      <c r="R73" s="1478"/>
      <c r="S73" s="1478"/>
      <c r="T73" s="1478"/>
      <c r="U73" s="1478"/>
      <c r="V73" s="1478"/>
      <c r="W73" s="1478"/>
      <c r="X73" s="1478"/>
      <c r="Y73" s="1479"/>
    </row>
    <row r="74" spans="1:25" ht="3.75" customHeight="1" thickBot="1">
      <c r="A74" s="1480"/>
      <c r="B74" s="1481"/>
      <c r="C74" s="1481"/>
      <c r="D74" s="1481"/>
      <c r="E74" s="1481"/>
      <c r="F74" s="1481"/>
      <c r="G74" s="1481"/>
      <c r="H74" s="1481"/>
      <c r="I74" s="1481"/>
      <c r="J74" s="1481"/>
      <c r="K74" s="1481"/>
      <c r="L74" s="1481"/>
      <c r="M74" s="1481"/>
      <c r="N74" s="1481"/>
      <c r="O74" s="1481"/>
      <c r="P74" s="1481"/>
      <c r="Q74" s="1481"/>
      <c r="R74" s="1481"/>
      <c r="S74" s="1481"/>
      <c r="T74" s="1481"/>
      <c r="U74" s="1481"/>
      <c r="V74" s="1481"/>
      <c r="W74" s="1481"/>
      <c r="X74" s="1481"/>
      <c r="Y74" s="1482"/>
    </row>
    <row r="75" spans="1:25" ht="13.5" hidden="1" thickBot="1">
      <c r="A75" s="1483"/>
      <c r="B75" s="1484"/>
      <c r="C75" s="1484"/>
      <c r="D75" s="1484"/>
      <c r="E75" s="1484"/>
      <c r="F75" s="1484"/>
      <c r="G75" s="1484"/>
      <c r="H75" s="1484"/>
      <c r="I75" s="1484"/>
      <c r="J75" s="1484"/>
      <c r="K75" s="1484"/>
      <c r="L75" s="1484"/>
      <c r="M75" s="1484"/>
      <c r="N75" s="1484"/>
      <c r="O75" s="1484"/>
      <c r="P75" s="1484"/>
      <c r="Q75" s="1484"/>
      <c r="R75" s="1484"/>
      <c r="S75" s="1484"/>
      <c r="T75" s="1484"/>
      <c r="U75" s="1484"/>
      <c r="V75" s="1484"/>
      <c r="W75" s="1484"/>
      <c r="X75" s="387"/>
      <c r="Y75" s="383"/>
    </row>
    <row r="76" spans="1:25" ht="13.5" hidden="1" thickBot="1">
      <c r="A76" s="1485"/>
      <c r="B76" s="1486"/>
      <c r="C76" s="1486"/>
      <c r="D76" s="1486"/>
      <c r="E76" s="1486"/>
      <c r="F76" s="1486"/>
      <c r="G76" s="1486"/>
      <c r="H76" s="1486"/>
      <c r="I76" s="1486"/>
      <c r="J76" s="1486"/>
      <c r="K76" s="1486"/>
      <c r="L76" s="1486"/>
      <c r="M76" s="1486"/>
      <c r="N76" s="1486"/>
      <c r="O76" s="1486"/>
      <c r="P76" s="1486"/>
      <c r="Q76" s="1486"/>
      <c r="R76" s="1486"/>
      <c r="S76" s="1486"/>
      <c r="T76" s="1486"/>
      <c r="U76" s="1486"/>
      <c r="V76" s="1486"/>
      <c r="W76" s="1486"/>
      <c r="X76" s="387"/>
      <c r="Y76" s="383"/>
    </row>
    <row r="77" spans="1:25" ht="13.5" hidden="1" thickBot="1">
      <c r="A77" s="1487"/>
      <c r="B77" s="1488"/>
      <c r="C77" s="1488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9"/>
      <c r="T77" s="1489"/>
      <c r="U77" s="1489"/>
      <c r="V77" s="1489"/>
      <c r="W77" s="1489"/>
      <c r="X77" s="387"/>
      <c r="Y77" s="383"/>
    </row>
    <row r="78" spans="1:25" ht="15.75" thickBot="1">
      <c r="A78" s="450" t="s">
        <v>383</v>
      </c>
      <c r="B78" s="1499" t="str">
        <f>DATOS!$G$5</f>
        <v>#</v>
      </c>
      <c r="C78" s="1499"/>
      <c r="D78" s="1499"/>
      <c r="E78" s="1499"/>
      <c r="F78" s="1499"/>
      <c r="G78" s="1499"/>
      <c r="H78" s="1499"/>
      <c r="I78" s="1499"/>
      <c r="J78" s="1500"/>
      <c r="K78" s="1497" t="s">
        <v>384</v>
      </c>
      <c r="L78" s="1498"/>
      <c r="M78" s="1498"/>
      <c r="N78" s="1498"/>
      <c r="O78" s="1498"/>
      <c r="P78" s="1498"/>
      <c r="Q78" s="1498"/>
      <c r="R78" s="1498"/>
      <c r="S78" s="1494" t="s">
        <v>385</v>
      </c>
      <c r="T78" s="1495"/>
      <c r="U78" s="1495"/>
      <c r="V78" s="1495"/>
      <c r="W78" s="1495"/>
      <c r="X78" s="1495"/>
      <c r="Y78" s="1496"/>
    </row>
    <row r="79" spans="1:25">
      <c r="A79" s="1497"/>
      <c r="B79" s="1498"/>
      <c r="C79" s="1498"/>
      <c r="D79" s="1498"/>
      <c r="E79" s="1498"/>
      <c r="F79" s="1498"/>
      <c r="G79" s="1498"/>
      <c r="H79" s="1498"/>
      <c r="I79" s="1498"/>
      <c r="J79" s="1501"/>
      <c r="K79" s="1497"/>
      <c r="L79" s="1498"/>
      <c r="M79" s="1498"/>
      <c r="N79" s="1498"/>
      <c r="O79" s="1498"/>
      <c r="P79" s="1498"/>
      <c r="Q79" s="1498"/>
      <c r="R79" s="1501"/>
      <c r="S79" s="1497"/>
      <c r="T79" s="1498"/>
      <c r="U79" s="1498"/>
      <c r="V79" s="1498"/>
      <c r="W79" s="1498"/>
      <c r="X79" s="1498"/>
      <c r="Y79" s="1501"/>
    </row>
    <row r="80" spans="1:25">
      <c r="A80" s="1502"/>
      <c r="B80" s="1503"/>
      <c r="C80" s="1503"/>
      <c r="D80" s="1503"/>
      <c r="E80" s="1503"/>
      <c r="F80" s="1503"/>
      <c r="G80" s="1503"/>
      <c r="H80" s="1503"/>
      <c r="I80" s="1503"/>
      <c r="J80" s="1504"/>
      <c r="K80" s="1502"/>
      <c r="L80" s="1503"/>
      <c r="M80" s="1503"/>
      <c r="N80" s="1503"/>
      <c r="O80" s="1503"/>
      <c r="P80" s="1503"/>
      <c r="Q80" s="1503"/>
      <c r="R80" s="1504"/>
      <c r="S80" s="1502"/>
      <c r="T80" s="1503"/>
      <c r="U80" s="1503"/>
      <c r="V80" s="1503"/>
      <c r="W80" s="1503"/>
      <c r="X80" s="1503"/>
      <c r="Y80" s="1504"/>
    </row>
    <row r="81" spans="1:25">
      <c r="A81" s="1502"/>
      <c r="B81" s="1503"/>
      <c r="C81" s="1503"/>
      <c r="D81" s="1503"/>
      <c r="E81" s="1503"/>
      <c r="F81" s="1503"/>
      <c r="G81" s="1503"/>
      <c r="H81" s="1503"/>
      <c r="I81" s="1503"/>
      <c r="J81" s="1504"/>
      <c r="K81" s="1502"/>
      <c r="L81" s="1503"/>
      <c r="M81" s="1503"/>
      <c r="N81" s="1503"/>
      <c r="O81" s="1503"/>
      <c r="P81" s="1503"/>
      <c r="Q81" s="1503"/>
      <c r="R81" s="1504"/>
      <c r="S81" s="1502"/>
      <c r="T81" s="1503"/>
      <c r="U81" s="1503"/>
      <c r="V81" s="1503"/>
      <c r="W81" s="1503"/>
      <c r="X81" s="1503"/>
      <c r="Y81" s="1504"/>
    </row>
    <row r="82" spans="1:25">
      <c r="A82" s="1502"/>
      <c r="B82" s="1503"/>
      <c r="C82" s="1503"/>
      <c r="D82" s="1503"/>
      <c r="E82" s="1503"/>
      <c r="F82" s="1503"/>
      <c r="G82" s="1503"/>
      <c r="H82" s="1503"/>
      <c r="I82" s="1503"/>
      <c r="J82" s="1504"/>
      <c r="K82" s="1502"/>
      <c r="L82" s="1503"/>
      <c r="M82" s="1503"/>
      <c r="N82" s="1503"/>
      <c r="O82" s="1503"/>
      <c r="P82" s="1503"/>
      <c r="Q82" s="1503"/>
      <c r="R82" s="1504"/>
      <c r="S82" s="1502"/>
      <c r="T82" s="1503"/>
      <c r="U82" s="1503"/>
      <c r="V82" s="1503"/>
      <c r="W82" s="1503"/>
      <c r="X82" s="1503"/>
      <c r="Y82" s="1504"/>
    </row>
    <row r="83" spans="1:25">
      <c r="A83" s="1502"/>
      <c r="B83" s="1503"/>
      <c r="C83" s="1503"/>
      <c r="D83" s="1503"/>
      <c r="E83" s="1503"/>
      <c r="F83" s="1503"/>
      <c r="G83" s="1503"/>
      <c r="H83" s="1503"/>
      <c r="I83" s="1503"/>
      <c r="J83" s="1504"/>
      <c r="K83" s="1502"/>
      <c r="L83" s="1503"/>
      <c r="M83" s="1503"/>
      <c r="N83" s="1503"/>
      <c r="O83" s="1503"/>
      <c r="P83" s="1503"/>
      <c r="Q83" s="1503"/>
      <c r="R83" s="1504"/>
      <c r="S83" s="1502"/>
      <c r="T83" s="1503"/>
      <c r="U83" s="1503"/>
      <c r="V83" s="1503"/>
      <c r="W83" s="1503"/>
      <c r="X83" s="1503"/>
      <c r="Y83" s="1504"/>
    </row>
    <row r="84" spans="1:25">
      <c r="A84" s="1502"/>
      <c r="B84" s="1503"/>
      <c r="C84" s="1503"/>
      <c r="D84" s="1503"/>
      <c r="E84" s="1503"/>
      <c r="F84" s="1503"/>
      <c r="G84" s="1503"/>
      <c r="H84" s="1503"/>
      <c r="I84" s="1503"/>
      <c r="J84" s="1504"/>
      <c r="K84" s="1502"/>
      <c r="L84" s="1503"/>
      <c r="M84" s="1503"/>
      <c r="N84" s="1503"/>
      <c r="O84" s="1503"/>
      <c r="P84" s="1503"/>
      <c r="Q84" s="1503"/>
      <c r="R84" s="1504"/>
      <c r="S84" s="1502"/>
      <c r="T84" s="1503"/>
      <c r="U84" s="1503"/>
      <c r="V84" s="1503"/>
      <c r="W84" s="1503"/>
      <c r="X84" s="1503"/>
      <c r="Y84" s="1504"/>
    </row>
    <row r="85" spans="1:25" ht="55.5" customHeight="1">
      <c r="A85" s="1502"/>
      <c r="B85" s="1503"/>
      <c r="C85" s="1503"/>
      <c r="D85" s="1503"/>
      <c r="E85" s="1503"/>
      <c r="F85" s="1503"/>
      <c r="G85" s="1503"/>
      <c r="H85" s="1503"/>
      <c r="I85" s="1503"/>
      <c r="J85" s="1504"/>
      <c r="K85" s="1502"/>
      <c r="L85" s="1503"/>
      <c r="M85" s="1503"/>
      <c r="N85" s="1503"/>
      <c r="O85" s="1503"/>
      <c r="P85" s="1503"/>
      <c r="Q85" s="1503"/>
      <c r="R85" s="1504"/>
      <c r="S85" s="1502"/>
      <c r="T85" s="1503"/>
      <c r="U85" s="1503"/>
      <c r="V85" s="1503"/>
      <c r="W85" s="1503"/>
      <c r="X85" s="1503"/>
      <c r="Y85" s="1504"/>
    </row>
    <row r="86" spans="1:25" ht="2.25" customHeight="1" thickBot="1">
      <c r="A86" s="1490"/>
      <c r="B86" s="1491"/>
      <c r="C86" s="1491"/>
      <c r="D86" s="1491"/>
      <c r="E86" s="1491"/>
      <c r="F86" s="1491"/>
      <c r="G86" s="1491"/>
      <c r="H86" s="1491"/>
      <c r="I86" s="1491"/>
      <c r="J86" s="1492"/>
      <c r="K86" s="1490"/>
      <c r="L86" s="1491"/>
      <c r="M86" s="1491"/>
      <c r="N86" s="1491"/>
      <c r="O86" s="1491"/>
      <c r="P86" s="1491"/>
      <c r="Q86" s="1491"/>
      <c r="R86" s="1492"/>
      <c r="S86" s="1490"/>
      <c r="T86" s="1491"/>
      <c r="U86" s="1491"/>
      <c r="V86" s="1491"/>
      <c r="W86" s="1491"/>
      <c r="X86" s="1491"/>
      <c r="Y86" s="1492"/>
    </row>
    <row r="87" spans="1:25" ht="11.25" customHeight="1" thickBot="1">
      <c r="A87" s="1490" t="s">
        <v>386</v>
      </c>
      <c r="B87" s="1491"/>
      <c r="C87" s="1491"/>
      <c r="D87" s="1491"/>
      <c r="E87" s="1491"/>
      <c r="F87" s="1491"/>
      <c r="G87" s="1491"/>
      <c r="H87" s="1491"/>
      <c r="I87" s="1491"/>
      <c r="J87" s="1492"/>
      <c r="K87" s="1493" t="s">
        <v>387</v>
      </c>
      <c r="L87" s="1493"/>
      <c r="M87" s="1493"/>
      <c r="N87" s="1493"/>
      <c r="O87" s="1493"/>
      <c r="P87" s="1493"/>
      <c r="Q87" s="1493"/>
      <c r="R87" s="1493"/>
      <c r="S87" s="1494" t="s">
        <v>388</v>
      </c>
      <c r="T87" s="1495"/>
      <c r="U87" s="1495"/>
      <c r="V87" s="1495"/>
      <c r="W87" s="1495"/>
      <c r="X87" s="1495"/>
      <c r="Y87" s="1496"/>
    </row>
  </sheetData>
  <mergeCells count="30">
    <mergeCell ref="A79:J86"/>
    <mergeCell ref="K79:R86"/>
    <mergeCell ref="S79:Y86"/>
    <mergeCell ref="A87:J87"/>
    <mergeCell ref="K87:R87"/>
    <mergeCell ref="S87:Y87"/>
    <mergeCell ref="B78:J78"/>
    <mergeCell ref="K78:R78"/>
    <mergeCell ref="S78:Y78"/>
    <mergeCell ref="A6:C6"/>
    <mergeCell ref="D6:K6"/>
    <mergeCell ref="M6:N6"/>
    <mergeCell ref="A7:Y60"/>
    <mergeCell ref="A72:B72"/>
    <mergeCell ref="C72:Y72"/>
    <mergeCell ref="A73:Y73"/>
    <mergeCell ref="A76:W76"/>
    <mergeCell ref="A77:W77"/>
    <mergeCell ref="A74:Y74"/>
    <mergeCell ref="A75:W75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T5:U5"/>
  </mergeCells>
  <pageMargins left="1.4960629921259843" right="0" top="0" bottom="0" header="0.31496062992125984" footer="0.31496062992125984"/>
  <pageSetup paperSize="9" scale="77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83"/>
  <sheetViews>
    <sheetView zoomScale="85" zoomScaleNormal="85" workbookViewId="0">
      <selection activeCell="J37" sqref="J37"/>
    </sheetView>
  </sheetViews>
  <sheetFormatPr baseColWidth="10" defaultColWidth="9.140625" defaultRowHeight="12.75"/>
  <cols>
    <col min="1" max="1" width="8.5703125" customWidth="1"/>
    <col min="2" max="2" width="7.85546875" customWidth="1"/>
    <col min="3" max="3" width="8.7109375" customWidth="1"/>
    <col min="4" max="4" width="10.5703125" customWidth="1"/>
    <col min="5" max="6" width="5.7109375" customWidth="1"/>
    <col min="7" max="7" width="8.140625" customWidth="1"/>
    <col min="8" max="8" width="5.7109375" customWidth="1"/>
    <col min="9" max="9" width="5.85546875" customWidth="1"/>
    <col min="10" max="10" width="8.140625" customWidth="1"/>
    <col min="11" max="11" width="5.7109375" customWidth="1"/>
    <col min="12" max="12" width="4.42578125" customWidth="1"/>
    <col min="13" max="13" width="10.7109375" customWidth="1"/>
    <col min="14" max="14" width="5.7109375" customWidth="1"/>
    <col min="15" max="15" width="5.5703125" customWidth="1"/>
    <col min="16" max="16" width="12.140625" customWidth="1"/>
    <col min="17" max="17" width="6.28515625" customWidth="1"/>
    <col min="18" max="18" width="3.5703125" customWidth="1"/>
    <col min="19" max="19" width="5.85546875" customWidth="1"/>
    <col min="20" max="20" width="12.85546875" customWidth="1"/>
    <col min="21" max="21" width="8.5703125" customWidth="1"/>
    <col min="22" max="256" width="11.42578125" customWidth="1"/>
  </cols>
  <sheetData>
    <row r="1" spans="1:21" ht="17.25" customHeight="1" thickBot="1">
      <c r="A1" s="1650"/>
      <c r="B1" s="1651"/>
      <c r="C1" s="1652"/>
      <c r="D1" s="1656" t="s">
        <v>373</v>
      </c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7"/>
      <c r="R1" s="1658" t="s">
        <v>374</v>
      </c>
      <c r="S1" s="1658"/>
      <c r="T1" s="446">
        <v>1</v>
      </c>
    </row>
    <row r="2" spans="1:21" ht="21" customHeight="1" thickBot="1">
      <c r="A2" s="1650"/>
      <c r="B2" s="1651"/>
      <c r="C2" s="1652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7"/>
      <c r="R2" s="1659" t="s">
        <v>105</v>
      </c>
      <c r="S2" s="1659"/>
      <c r="T2" s="447"/>
    </row>
    <row r="3" spans="1:21" ht="15.75" customHeight="1" thickBot="1">
      <c r="A3" s="1650"/>
      <c r="B3" s="1651"/>
      <c r="C3" s="1652"/>
      <c r="D3" s="1660"/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1"/>
      <c r="P3" s="1661"/>
      <c r="Q3" s="1661"/>
      <c r="R3" s="408"/>
      <c r="S3" s="409"/>
      <c r="T3" s="410"/>
    </row>
    <row r="4" spans="1:21" ht="45.75" thickBot="1">
      <c r="A4" s="1650"/>
      <c r="B4" s="1651"/>
      <c r="C4" s="1652"/>
      <c r="D4" s="1662" t="s">
        <v>389</v>
      </c>
      <c r="E4" s="1662"/>
      <c r="F4" s="1662"/>
      <c r="G4" s="1662"/>
      <c r="H4" s="1662"/>
      <c r="I4" s="1662"/>
      <c r="J4" s="1662"/>
      <c r="K4" s="1662"/>
      <c r="L4" s="1662"/>
      <c r="M4" s="1662"/>
      <c r="N4" s="1662"/>
      <c r="O4" s="1662"/>
      <c r="P4" s="1662"/>
      <c r="Q4" s="1662"/>
      <c r="R4" s="1662"/>
      <c r="S4" s="1662"/>
      <c r="T4" s="1663"/>
    </row>
    <row r="5" spans="1:21" ht="27.75" customHeight="1" thickBot="1">
      <c r="A5" s="1650"/>
      <c r="B5" s="1651"/>
      <c r="C5" s="1652"/>
      <c r="D5" s="1664" t="s">
        <v>390</v>
      </c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6"/>
    </row>
    <row r="6" spans="1:21" ht="10.5" customHeight="1" thickBot="1">
      <c r="A6" s="1653"/>
      <c r="B6" s="1654"/>
      <c r="C6" s="1655"/>
      <c r="D6" s="1667" t="s">
        <v>391</v>
      </c>
      <c r="E6" s="1667"/>
      <c r="F6" s="1667"/>
      <c r="G6" s="1667"/>
      <c r="H6" s="1667"/>
      <c r="I6" s="1667"/>
      <c r="J6" s="1667"/>
      <c r="K6" s="1667"/>
      <c r="L6" s="1667"/>
      <c r="M6" s="1667"/>
      <c r="N6" s="1667"/>
      <c r="O6" s="1667"/>
      <c r="P6" s="1667"/>
      <c r="Q6" s="1667"/>
      <c r="R6" s="1667"/>
      <c r="S6" s="1667"/>
      <c r="T6" s="1668"/>
    </row>
    <row r="7" spans="1:21" ht="21" customHeight="1" thickTop="1" thickBot="1">
      <c r="A7" s="1670" t="s">
        <v>392</v>
      </c>
      <c r="B7" s="1671"/>
      <c r="C7" s="411"/>
      <c r="D7" s="1669"/>
      <c r="E7" s="1667"/>
      <c r="F7" s="1667"/>
      <c r="G7" s="1667"/>
      <c r="H7" s="1667"/>
      <c r="I7" s="1667"/>
      <c r="J7" s="1667"/>
      <c r="K7" s="1667"/>
      <c r="L7" s="1667"/>
      <c r="M7" s="1667"/>
      <c r="N7" s="1667"/>
      <c r="O7" s="1667"/>
      <c r="P7" s="1667"/>
      <c r="Q7" s="1667"/>
      <c r="R7" s="1667"/>
      <c r="S7" s="1667"/>
      <c r="T7" s="1668"/>
    </row>
    <row r="8" spans="1:21" ht="5.25" customHeight="1">
      <c r="A8" s="1636"/>
      <c r="B8" s="1637"/>
      <c r="C8" s="1637"/>
      <c r="D8" s="1637"/>
      <c r="E8" s="1637"/>
      <c r="F8" s="1637"/>
      <c r="G8" s="1637"/>
      <c r="H8" s="1637"/>
      <c r="I8" s="1637"/>
      <c r="J8" s="1637"/>
      <c r="K8" s="1637"/>
      <c r="L8" s="1637"/>
      <c r="M8" s="1637"/>
      <c r="N8" s="1637"/>
      <c r="O8" s="1637"/>
      <c r="P8" s="1637"/>
      <c r="Q8" s="1637"/>
      <c r="R8" s="1637"/>
      <c r="S8" s="1637"/>
      <c r="T8" s="1638"/>
    </row>
    <row r="9" spans="1:21" ht="22.5" customHeight="1">
      <c r="A9" s="1639" t="s">
        <v>393</v>
      </c>
      <c r="B9" s="1640"/>
      <c r="C9" s="1640"/>
      <c r="D9" s="1641"/>
      <c r="E9" s="412"/>
      <c r="F9" s="1642" t="s">
        <v>394</v>
      </c>
      <c r="G9" s="1643"/>
      <c r="H9" s="412"/>
      <c r="I9" s="1642" t="s">
        <v>395</v>
      </c>
      <c r="J9" s="1643"/>
      <c r="K9" s="412"/>
      <c r="L9" s="1642" t="s">
        <v>396</v>
      </c>
      <c r="M9" s="1643"/>
      <c r="N9" s="412"/>
      <c r="O9" s="1642" t="s">
        <v>397</v>
      </c>
      <c r="P9" s="1643"/>
      <c r="Q9" s="412"/>
      <c r="R9" s="1644" t="s">
        <v>398</v>
      </c>
      <c r="S9" s="1645"/>
      <c r="T9" s="1646"/>
    </row>
    <row r="10" spans="1:21" ht="6" customHeight="1">
      <c r="A10" s="1535"/>
      <c r="B10" s="1536"/>
      <c r="C10" s="1536"/>
      <c r="D10" s="1536"/>
      <c r="E10" s="1536"/>
      <c r="F10" s="1536"/>
      <c r="G10" s="1536"/>
      <c r="H10" s="1536"/>
      <c r="I10" s="1536"/>
      <c r="J10" s="1536"/>
      <c r="K10" s="1536"/>
      <c r="L10" s="1536"/>
      <c r="M10" s="1536"/>
      <c r="N10" s="1536"/>
      <c r="O10" s="1536"/>
      <c r="P10" s="1536"/>
      <c r="Q10" s="1536"/>
      <c r="R10" s="1536"/>
      <c r="S10" s="1536"/>
      <c r="T10" s="1537"/>
    </row>
    <row r="11" spans="1:21" ht="19.5" customHeight="1">
      <c r="A11" s="1620" t="s">
        <v>399</v>
      </c>
      <c r="B11" s="1621"/>
      <c r="C11" s="1621"/>
      <c r="D11" s="1622"/>
      <c r="E11" s="1647">
        <f>SUM(T29:T50)</f>
        <v>40.75</v>
      </c>
      <c r="F11" s="1648"/>
      <c r="G11" s="413" t="s">
        <v>442</v>
      </c>
      <c r="H11" s="1621" t="s">
        <v>400</v>
      </c>
      <c r="I11" s="1621"/>
      <c r="J11" s="1621"/>
      <c r="K11" s="1621"/>
      <c r="L11" s="1621"/>
      <c r="M11" s="1621"/>
      <c r="N11" s="1621"/>
      <c r="O11" s="1621"/>
      <c r="P11" s="1621"/>
      <c r="Q11" s="1649">
        <f>$Q$18</f>
        <v>0</v>
      </c>
      <c r="R11" s="1649"/>
      <c r="S11" s="1649"/>
      <c r="T11" s="414" t="s">
        <v>401</v>
      </c>
    </row>
    <row r="12" spans="1:21" ht="6" customHeight="1">
      <c r="A12" s="1617"/>
      <c r="B12" s="1618"/>
      <c r="C12" s="1618"/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1618"/>
      <c r="T12" s="1619"/>
    </row>
    <row r="13" spans="1:21" ht="18.75" customHeight="1">
      <c r="A13" s="1620" t="s">
        <v>402</v>
      </c>
      <c r="B13" s="1621"/>
      <c r="C13" s="1621"/>
      <c r="D13" s="1622"/>
      <c r="E13" s="1623"/>
      <c r="F13" s="1624"/>
      <c r="G13" s="415" t="s">
        <v>403</v>
      </c>
      <c r="H13" s="1625" t="s">
        <v>404</v>
      </c>
      <c r="I13" s="1621"/>
      <c r="J13" s="1621"/>
      <c r="K13" s="1621"/>
      <c r="L13" s="1621"/>
      <c r="M13" s="1621"/>
      <c r="N13" s="1621"/>
      <c r="O13" s="1621"/>
      <c r="P13" s="1622"/>
      <c r="Q13" s="448">
        <v>0.7</v>
      </c>
      <c r="R13" s="1626">
        <f>+Q11*Q13</f>
        <v>0</v>
      </c>
      <c r="S13" s="1626"/>
      <c r="T13" s="418" t="s">
        <v>401</v>
      </c>
      <c r="U13" s="417"/>
    </row>
    <row r="14" spans="1:21" ht="6" customHeight="1" thickBot="1">
      <c r="A14" s="1627" t="s">
        <v>405</v>
      </c>
      <c r="B14" s="1628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9"/>
    </row>
    <row r="15" spans="1:21" ht="6" customHeight="1" thickBot="1">
      <c r="A15" s="1630"/>
      <c r="B15" s="1631"/>
      <c r="C15" s="1631"/>
      <c r="D15" s="1631"/>
      <c r="E15" s="1631"/>
      <c r="F15" s="1631"/>
      <c r="G15" s="1631"/>
      <c r="H15" s="1631"/>
      <c r="I15" s="1631"/>
      <c r="J15" s="1631"/>
      <c r="K15" s="1631"/>
      <c r="L15" s="1631"/>
      <c r="M15" s="1631"/>
      <c r="N15" s="1631"/>
      <c r="O15" s="1631"/>
      <c r="P15" s="1631"/>
      <c r="Q15" s="1631"/>
      <c r="R15" s="1631"/>
      <c r="S15" s="1631"/>
      <c r="T15" s="1632"/>
    </row>
    <row r="16" spans="1:21" ht="18" customHeight="1">
      <c r="A16" s="1596" t="s">
        <v>406</v>
      </c>
      <c r="B16" s="1597"/>
      <c r="C16" s="419">
        <v>1</v>
      </c>
      <c r="D16" s="419">
        <v>2</v>
      </c>
      <c r="E16" s="1582">
        <v>3</v>
      </c>
      <c r="F16" s="1581"/>
      <c r="G16" s="419">
        <v>4</v>
      </c>
      <c r="H16" s="1582">
        <v>5</v>
      </c>
      <c r="I16" s="1581"/>
      <c r="J16" s="419">
        <v>6</v>
      </c>
      <c r="K16" s="1582"/>
      <c r="L16" s="1581"/>
      <c r="M16" s="419"/>
      <c r="N16" s="1582"/>
      <c r="O16" s="1581"/>
      <c r="P16" s="420"/>
      <c r="Q16" s="1633" t="s">
        <v>407</v>
      </c>
      <c r="R16" s="1634"/>
      <c r="S16" s="1634"/>
      <c r="T16" s="1635"/>
    </row>
    <row r="17" spans="1:20" ht="18" customHeight="1" thickBot="1">
      <c r="A17" s="1596" t="s">
        <v>408</v>
      </c>
      <c r="B17" s="1597"/>
      <c r="C17" s="419" t="s">
        <v>409</v>
      </c>
      <c r="D17" s="419" t="s">
        <v>410</v>
      </c>
      <c r="E17" s="1582" t="s">
        <v>411</v>
      </c>
      <c r="F17" s="1581"/>
      <c r="G17" s="419" t="s">
        <v>412</v>
      </c>
      <c r="H17" s="1582" t="s">
        <v>410</v>
      </c>
      <c r="I17" s="1581"/>
      <c r="J17" s="419" t="s">
        <v>409</v>
      </c>
      <c r="K17" s="1582"/>
      <c r="L17" s="1581"/>
      <c r="M17" s="419"/>
      <c r="N17" s="1582"/>
      <c r="O17" s="1581"/>
      <c r="P17" s="419"/>
      <c r="Q17" s="1611" t="s">
        <v>413</v>
      </c>
      <c r="R17" s="1612"/>
      <c r="S17" s="1612"/>
      <c r="T17" s="1613"/>
    </row>
    <row r="18" spans="1:20" ht="18" customHeight="1">
      <c r="A18" s="1596" t="s">
        <v>414</v>
      </c>
      <c r="B18" s="1597"/>
      <c r="C18" s="419"/>
      <c r="D18" s="419"/>
      <c r="E18" s="1582"/>
      <c r="F18" s="1581"/>
      <c r="G18" s="419"/>
      <c r="H18" s="1582"/>
      <c r="I18" s="1581"/>
      <c r="J18" s="419"/>
      <c r="K18" s="1582"/>
      <c r="L18" s="1581"/>
      <c r="M18" s="419"/>
      <c r="N18" s="1582"/>
      <c r="O18" s="1581"/>
      <c r="P18" s="420"/>
      <c r="Q18" s="1614"/>
      <c r="R18" s="1615"/>
      <c r="S18" s="1615"/>
      <c r="T18" s="1616"/>
    </row>
    <row r="19" spans="1:20" ht="18" customHeight="1">
      <c r="A19" s="1596" t="s">
        <v>415</v>
      </c>
      <c r="B19" s="1597"/>
      <c r="C19" s="422"/>
      <c r="D19" s="419"/>
      <c r="E19" s="1582"/>
      <c r="F19" s="1581"/>
      <c r="G19" s="422"/>
      <c r="H19" s="1606"/>
      <c r="I19" s="1607"/>
      <c r="J19" s="422"/>
      <c r="K19" s="1606"/>
      <c r="L19" s="1607"/>
      <c r="M19" s="422"/>
      <c r="N19" s="1606"/>
      <c r="O19" s="1607"/>
      <c r="P19" s="422"/>
      <c r="Q19" s="1608"/>
      <c r="R19" s="1609"/>
      <c r="S19" s="1609"/>
      <c r="T19" s="1610"/>
    </row>
    <row r="20" spans="1:20" ht="18" customHeight="1">
      <c r="A20" s="1596" t="s">
        <v>443</v>
      </c>
      <c r="B20" s="1597"/>
      <c r="C20" s="419"/>
      <c r="D20" s="419"/>
      <c r="E20" s="1582"/>
      <c r="F20" s="1581"/>
      <c r="G20" s="419"/>
      <c r="H20" s="1582"/>
      <c r="I20" s="1581"/>
      <c r="J20" s="419"/>
      <c r="K20" s="1582"/>
      <c r="L20" s="1581"/>
      <c r="M20" s="419"/>
      <c r="N20" s="1582"/>
      <c r="O20" s="1581"/>
      <c r="P20" s="419"/>
      <c r="Q20" s="1580">
        <v>6</v>
      </c>
      <c r="R20" s="1602"/>
      <c r="S20" s="1602"/>
      <c r="T20" s="1603"/>
    </row>
    <row r="21" spans="1:20" ht="18" customHeight="1">
      <c r="A21" s="1596" t="s">
        <v>444</v>
      </c>
      <c r="B21" s="1597"/>
      <c r="C21" s="419"/>
      <c r="D21" s="419"/>
      <c r="E21" s="1582"/>
      <c r="F21" s="1581"/>
      <c r="G21" s="419"/>
      <c r="H21" s="1582"/>
      <c r="I21" s="1581"/>
      <c r="J21" s="419"/>
      <c r="K21" s="1582"/>
      <c r="L21" s="1581"/>
      <c r="M21" s="419"/>
      <c r="N21" s="1582"/>
      <c r="O21" s="1581"/>
      <c r="P21" s="419"/>
      <c r="Q21" s="1580">
        <v>6</v>
      </c>
      <c r="R21" s="1602"/>
      <c r="S21" s="1602"/>
      <c r="T21" s="1603"/>
    </row>
    <row r="22" spans="1:20" ht="18" customHeight="1">
      <c r="A22" s="1596" t="s">
        <v>416</v>
      </c>
      <c r="B22" s="1597"/>
      <c r="C22" s="419"/>
      <c r="D22" s="419"/>
      <c r="E22" s="1582"/>
      <c r="F22" s="1581"/>
      <c r="G22" s="419"/>
      <c r="H22" s="1582"/>
      <c r="I22" s="1581"/>
      <c r="J22" s="419"/>
      <c r="K22" s="1582"/>
      <c r="L22" s="1581"/>
      <c r="M22" s="419"/>
      <c r="N22" s="1582"/>
      <c r="O22" s="1581"/>
      <c r="P22" s="419"/>
      <c r="Q22" s="1580">
        <v>31</v>
      </c>
      <c r="R22" s="1602"/>
      <c r="S22" s="1602"/>
      <c r="T22" s="1603"/>
    </row>
    <row r="23" spans="1:20" ht="17.25" customHeight="1" thickBot="1">
      <c r="A23" s="1596" t="s">
        <v>417</v>
      </c>
      <c r="B23" s="1597"/>
      <c r="C23" s="419"/>
      <c r="D23" s="419"/>
      <c r="E23" s="1582"/>
      <c r="F23" s="1581"/>
      <c r="G23" s="419"/>
      <c r="H23" s="1582"/>
      <c r="I23" s="1581"/>
      <c r="J23" s="419"/>
      <c r="K23" s="1582"/>
      <c r="L23" s="1581"/>
      <c r="M23" s="419"/>
      <c r="N23" s="1582"/>
      <c r="O23" s="1581"/>
      <c r="P23" s="419"/>
      <c r="Q23" s="1580">
        <v>32</v>
      </c>
      <c r="R23" s="1602"/>
      <c r="S23" s="1602"/>
      <c r="T23" s="1603"/>
    </row>
    <row r="24" spans="1:20" ht="18" hidden="1" customHeight="1">
      <c r="A24" s="1596"/>
      <c r="B24" s="1597"/>
      <c r="C24" s="419"/>
      <c r="D24" s="419"/>
      <c r="E24" s="1582"/>
      <c r="F24" s="1581"/>
      <c r="G24" s="419"/>
      <c r="H24" s="1582"/>
      <c r="I24" s="1581"/>
      <c r="J24" s="419"/>
      <c r="K24" s="1582"/>
      <c r="L24" s="1581"/>
      <c r="M24" s="419"/>
      <c r="N24" s="1582"/>
      <c r="O24" s="1581"/>
      <c r="P24" s="420"/>
      <c r="Q24" s="1576"/>
      <c r="R24" s="1604"/>
      <c r="S24" s="1604"/>
      <c r="T24" s="1605"/>
    </row>
    <row r="25" spans="1:20" ht="18" hidden="1" customHeight="1">
      <c r="A25" s="1596"/>
      <c r="B25" s="1597"/>
      <c r="C25" s="419"/>
      <c r="D25" s="419"/>
      <c r="E25" s="1582"/>
      <c r="F25" s="1581"/>
      <c r="G25" s="419"/>
      <c r="H25" s="1582"/>
      <c r="I25" s="1581"/>
      <c r="J25" s="419"/>
      <c r="K25" s="1582"/>
      <c r="L25" s="1581"/>
      <c r="M25" s="419"/>
      <c r="N25" s="1582"/>
      <c r="O25" s="1581"/>
      <c r="P25" s="420"/>
      <c r="Q25" s="1598"/>
      <c r="R25" s="1599"/>
      <c r="S25" s="1599"/>
      <c r="T25" s="1600"/>
    </row>
    <row r="26" spans="1:20" ht="18" customHeight="1" thickBot="1">
      <c r="A26" s="1596" t="s">
        <v>418</v>
      </c>
      <c r="B26" s="1597"/>
      <c r="C26" s="419">
        <f>SUM(C30:C50)</f>
        <v>0</v>
      </c>
      <c r="D26" s="419">
        <f t="shared" ref="D26:P26" si="0">SUM(D30:D50)</f>
        <v>0</v>
      </c>
      <c r="E26" s="1582">
        <f t="shared" si="0"/>
        <v>0</v>
      </c>
      <c r="F26" s="1581"/>
      <c r="G26" s="419">
        <f t="shared" si="0"/>
        <v>0</v>
      </c>
      <c r="H26" s="1582">
        <f t="shared" si="0"/>
        <v>0</v>
      </c>
      <c r="I26" s="1581"/>
      <c r="J26" s="419">
        <f t="shared" si="0"/>
        <v>0</v>
      </c>
      <c r="K26" s="1582">
        <f t="shared" si="0"/>
        <v>0</v>
      </c>
      <c r="L26" s="1581"/>
      <c r="M26" s="419">
        <f t="shared" si="0"/>
        <v>0</v>
      </c>
      <c r="N26" s="1582">
        <f t="shared" si="0"/>
        <v>0</v>
      </c>
      <c r="O26" s="1581"/>
      <c r="P26" s="419">
        <f t="shared" si="0"/>
        <v>0</v>
      </c>
      <c r="Q26" s="1541" t="s">
        <v>419</v>
      </c>
      <c r="R26" s="1542"/>
      <c r="S26" s="1601"/>
      <c r="T26" s="425">
        <f>SUM(C26:P26)</f>
        <v>0</v>
      </c>
    </row>
    <row r="27" spans="1:20">
      <c r="A27" s="1583" t="s">
        <v>420</v>
      </c>
      <c r="B27" s="1584"/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5"/>
    </row>
    <row r="28" spans="1:20" ht="18" customHeight="1">
      <c r="A28" s="1586" t="s">
        <v>421</v>
      </c>
      <c r="B28" s="1587"/>
      <c r="C28" s="1588" t="s">
        <v>422</v>
      </c>
      <c r="D28" s="1589"/>
      <c r="E28" s="1589"/>
      <c r="F28" s="1589"/>
      <c r="G28" s="1589"/>
      <c r="H28" s="1589"/>
      <c r="I28" s="1589"/>
      <c r="J28" s="1589"/>
      <c r="K28" s="1589"/>
      <c r="L28" s="1589"/>
      <c r="M28" s="1589"/>
      <c r="N28" s="1589"/>
      <c r="O28" s="1589"/>
      <c r="P28" s="1587"/>
      <c r="Q28" s="1590" t="s">
        <v>423</v>
      </c>
      <c r="R28" s="1591"/>
      <c r="S28" s="1592"/>
      <c r="T28" s="426" t="s">
        <v>445</v>
      </c>
    </row>
    <row r="29" spans="1:20" ht="18" customHeight="1">
      <c r="A29" s="1593"/>
      <c r="B29" s="1594"/>
      <c r="C29" s="427"/>
      <c r="D29" s="427"/>
      <c r="E29" s="1595"/>
      <c r="F29" s="1595"/>
      <c r="G29" s="427"/>
      <c r="H29" s="1595"/>
      <c r="I29" s="1595"/>
      <c r="J29" s="427"/>
      <c r="K29" s="1595"/>
      <c r="L29" s="1595"/>
      <c r="M29" s="427"/>
      <c r="N29" s="1595"/>
      <c r="O29" s="1595"/>
      <c r="P29" s="427"/>
      <c r="Q29" s="428" t="s">
        <v>424</v>
      </c>
      <c r="R29" s="429"/>
      <c r="S29" s="430"/>
      <c r="T29" s="431">
        <v>7.35</v>
      </c>
    </row>
    <row r="30" spans="1:20" ht="18" customHeight="1">
      <c r="A30" s="1580" t="s">
        <v>425</v>
      </c>
      <c r="B30" s="1581"/>
      <c r="C30" s="419"/>
      <c r="D30" s="419"/>
      <c r="E30" s="1582"/>
      <c r="F30" s="1581"/>
      <c r="G30" s="419"/>
      <c r="H30" s="1582"/>
      <c r="I30" s="1581"/>
      <c r="J30" s="419"/>
      <c r="K30" s="1582"/>
      <c r="L30" s="1581"/>
      <c r="M30" s="419"/>
      <c r="N30" s="1582"/>
      <c r="O30" s="1581"/>
      <c r="P30" s="419"/>
      <c r="Q30" s="420">
        <v>4</v>
      </c>
      <c r="R30" s="423" t="s">
        <v>426</v>
      </c>
      <c r="S30" s="421">
        <v>2.5</v>
      </c>
      <c r="T30" s="431">
        <f t="shared" ref="T30:T50" si="1">+Q30*S30</f>
        <v>10</v>
      </c>
    </row>
    <row r="31" spans="1:20" ht="18" customHeight="1">
      <c r="A31" s="1580" t="s">
        <v>427</v>
      </c>
      <c r="B31" s="1581"/>
      <c r="C31" s="419"/>
      <c r="D31" s="419"/>
      <c r="E31" s="1582"/>
      <c r="F31" s="1581"/>
      <c r="G31" s="419"/>
      <c r="H31" s="1582"/>
      <c r="I31" s="1581"/>
      <c r="J31" s="419"/>
      <c r="K31" s="1582"/>
      <c r="L31" s="1581"/>
      <c r="M31" s="419"/>
      <c r="N31" s="1582"/>
      <c r="O31" s="1581"/>
      <c r="P31" s="419"/>
      <c r="Q31" s="420">
        <v>7</v>
      </c>
      <c r="R31" s="423" t="s">
        <v>426</v>
      </c>
      <c r="S31" s="421">
        <v>3</v>
      </c>
      <c r="T31" s="431">
        <f t="shared" si="1"/>
        <v>21</v>
      </c>
    </row>
    <row r="32" spans="1:20" ht="18" customHeight="1">
      <c r="A32" s="1580" t="s">
        <v>428</v>
      </c>
      <c r="B32" s="1581"/>
      <c r="C32" s="419"/>
      <c r="D32" s="419"/>
      <c r="E32" s="1582"/>
      <c r="F32" s="1581"/>
      <c r="G32" s="419"/>
      <c r="H32" s="1582"/>
      <c r="I32" s="1581"/>
      <c r="J32" s="419"/>
      <c r="K32" s="1582"/>
      <c r="L32" s="1581"/>
      <c r="M32" s="419"/>
      <c r="N32" s="1582"/>
      <c r="O32" s="1581"/>
      <c r="P32" s="419"/>
      <c r="Q32" s="420">
        <v>2</v>
      </c>
      <c r="R32" s="423" t="s">
        <v>426</v>
      </c>
      <c r="S32" s="421">
        <v>1.2</v>
      </c>
      <c r="T32" s="431">
        <f t="shared" si="1"/>
        <v>2.4</v>
      </c>
    </row>
    <row r="33" spans="1:20" ht="18" customHeight="1">
      <c r="A33" s="1576"/>
      <c r="B33" s="1577"/>
      <c r="C33" s="433"/>
      <c r="D33" s="433"/>
      <c r="E33" s="1578"/>
      <c r="F33" s="1577"/>
      <c r="G33" s="433"/>
      <c r="H33" s="1578"/>
      <c r="I33" s="1577"/>
      <c r="J33" s="433"/>
      <c r="K33" s="1578"/>
      <c r="L33" s="1577"/>
      <c r="M33" s="433"/>
      <c r="N33" s="1578"/>
      <c r="O33" s="1577"/>
      <c r="P33" s="433"/>
      <c r="Q33" s="434"/>
      <c r="R33" s="424"/>
      <c r="S33" s="432"/>
      <c r="T33" s="431">
        <f t="shared" si="1"/>
        <v>0</v>
      </c>
    </row>
    <row r="34" spans="1:20" ht="18" customHeight="1">
      <c r="A34" s="1576"/>
      <c r="B34" s="1577"/>
      <c r="C34" s="433"/>
      <c r="D34" s="433"/>
      <c r="E34" s="1578"/>
      <c r="F34" s="1577"/>
      <c r="G34" s="433"/>
      <c r="H34" s="1578"/>
      <c r="I34" s="1577"/>
      <c r="J34" s="433"/>
      <c r="K34" s="1578"/>
      <c r="L34" s="1577"/>
      <c r="M34" s="433"/>
      <c r="N34" s="1578"/>
      <c r="O34" s="1577"/>
      <c r="P34" s="433"/>
      <c r="Q34" s="434"/>
      <c r="R34" s="424"/>
      <c r="S34" s="432"/>
      <c r="T34" s="431">
        <f t="shared" si="1"/>
        <v>0</v>
      </c>
    </row>
    <row r="35" spans="1:20" ht="18" customHeight="1">
      <c r="A35" s="1576"/>
      <c r="B35" s="1577"/>
      <c r="C35" s="433"/>
      <c r="D35" s="433"/>
      <c r="E35" s="1578"/>
      <c r="F35" s="1577"/>
      <c r="G35" s="433"/>
      <c r="H35" s="1578"/>
      <c r="I35" s="1577"/>
      <c r="J35" s="433"/>
      <c r="K35" s="1578"/>
      <c r="L35" s="1577"/>
      <c r="M35" s="433"/>
      <c r="N35" s="1578"/>
      <c r="O35" s="1577"/>
      <c r="P35" s="433"/>
      <c r="Q35" s="434"/>
      <c r="R35" s="424"/>
      <c r="S35" s="432"/>
      <c r="T35" s="431">
        <f t="shared" si="1"/>
        <v>0</v>
      </c>
    </row>
    <row r="36" spans="1:20" ht="18" customHeight="1">
      <c r="A36" s="1576"/>
      <c r="B36" s="1577"/>
      <c r="C36" s="433"/>
      <c r="D36" s="433"/>
      <c r="E36" s="1578"/>
      <c r="F36" s="1577"/>
      <c r="G36" s="433"/>
      <c r="H36" s="1578"/>
      <c r="I36" s="1577"/>
      <c r="J36" s="433"/>
      <c r="K36" s="1578"/>
      <c r="L36" s="1577"/>
      <c r="M36" s="433"/>
      <c r="N36" s="1578"/>
      <c r="O36" s="1577"/>
      <c r="P36" s="433"/>
      <c r="Q36" s="434"/>
      <c r="R36" s="424"/>
      <c r="S36" s="432"/>
      <c r="T36" s="431">
        <f t="shared" si="1"/>
        <v>0</v>
      </c>
    </row>
    <row r="37" spans="1:20" ht="18" customHeight="1">
      <c r="A37" s="1576" t="s">
        <v>429</v>
      </c>
      <c r="B37" s="1577"/>
      <c r="C37" s="433"/>
      <c r="D37" s="433"/>
      <c r="E37" s="1578"/>
      <c r="F37" s="1577"/>
      <c r="G37" s="433"/>
      <c r="H37" s="1578"/>
      <c r="I37" s="1577"/>
      <c r="J37" s="433"/>
      <c r="K37" s="1578"/>
      <c r="L37" s="1577"/>
      <c r="M37" s="433"/>
      <c r="N37" s="1578"/>
      <c r="O37" s="1577"/>
      <c r="P37" s="433"/>
      <c r="Q37" s="434"/>
      <c r="R37" s="424"/>
      <c r="S37" s="432"/>
      <c r="T37" s="431">
        <f t="shared" si="1"/>
        <v>0</v>
      </c>
    </row>
    <row r="38" spans="1:20" ht="18" customHeight="1">
      <c r="A38" s="1576"/>
      <c r="B38" s="1577"/>
      <c r="C38" s="433"/>
      <c r="D38" s="433"/>
      <c r="E38" s="1578"/>
      <c r="F38" s="1577"/>
      <c r="G38" s="433"/>
      <c r="H38" s="1578"/>
      <c r="I38" s="1577"/>
      <c r="J38" s="433"/>
      <c r="K38" s="1578"/>
      <c r="L38" s="1577"/>
      <c r="M38" s="433"/>
      <c r="N38" s="1578"/>
      <c r="O38" s="1577"/>
      <c r="P38" s="433"/>
      <c r="Q38" s="434"/>
      <c r="R38" s="424"/>
      <c r="S38" s="432"/>
      <c r="T38" s="431">
        <f t="shared" si="1"/>
        <v>0</v>
      </c>
    </row>
    <row r="39" spans="1:20" ht="18" customHeight="1">
      <c r="A39" s="1576"/>
      <c r="B39" s="1577"/>
      <c r="C39" s="433"/>
      <c r="D39" s="433"/>
      <c r="E39" s="1578"/>
      <c r="F39" s="1577"/>
      <c r="G39" s="433"/>
      <c r="H39" s="1578"/>
      <c r="I39" s="1577"/>
      <c r="J39" s="433"/>
      <c r="K39" s="1578"/>
      <c r="L39" s="1577"/>
      <c r="M39" s="433"/>
      <c r="N39" s="1578"/>
      <c r="O39" s="1577"/>
      <c r="P39" s="433"/>
      <c r="Q39" s="434"/>
      <c r="R39" s="424"/>
      <c r="S39" s="432"/>
      <c r="T39" s="431">
        <f t="shared" si="1"/>
        <v>0</v>
      </c>
    </row>
    <row r="40" spans="1:20" ht="18" customHeight="1">
      <c r="A40" s="1576"/>
      <c r="B40" s="1577"/>
      <c r="C40" s="433"/>
      <c r="D40" s="433"/>
      <c r="E40" s="1578"/>
      <c r="F40" s="1577"/>
      <c r="G40" s="433"/>
      <c r="H40" s="1578"/>
      <c r="I40" s="1577"/>
      <c r="J40" s="433"/>
      <c r="K40" s="1578"/>
      <c r="L40" s="1577"/>
      <c r="M40" s="433"/>
      <c r="N40" s="1578"/>
      <c r="O40" s="1577"/>
      <c r="P40" s="433"/>
      <c r="Q40" s="434"/>
      <c r="R40" s="424"/>
      <c r="S40" s="432"/>
      <c r="T40" s="431">
        <f t="shared" si="1"/>
        <v>0</v>
      </c>
    </row>
    <row r="41" spans="1:20" ht="18" customHeight="1">
      <c r="A41" s="1576"/>
      <c r="B41" s="1577"/>
      <c r="C41" s="433"/>
      <c r="D41" s="433"/>
      <c r="E41" s="1578"/>
      <c r="F41" s="1577"/>
      <c r="G41" s="433"/>
      <c r="H41" s="1578"/>
      <c r="I41" s="1577"/>
      <c r="J41" s="433"/>
      <c r="K41" s="1578"/>
      <c r="L41" s="1577"/>
      <c r="M41" s="433"/>
      <c r="N41" s="1578"/>
      <c r="O41" s="1577"/>
      <c r="P41" s="433"/>
      <c r="Q41" s="434"/>
      <c r="R41" s="424"/>
      <c r="S41" s="432"/>
      <c r="T41" s="431">
        <f t="shared" si="1"/>
        <v>0</v>
      </c>
    </row>
    <row r="42" spans="1:20" ht="18" customHeight="1">
      <c r="A42" s="1576"/>
      <c r="B42" s="1577"/>
      <c r="C42" s="433"/>
      <c r="D42" s="433"/>
      <c r="E42" s="1578"/>
      <c r="F42" s="1577"/>
      <c r="G42" s="433"/>
      <c r="H42" s="1578"/>
      <c r="I42" s="1577"/>
      <c r="J42" s="433"/>
      <c r="K42" s="1578"/>
      <c r="L42" s="1577"/>
      <c r="M42" s="433"/>
      <c r="N42" s="1578"/>
      <c r="O42" s="1577"/>
      <c r="P42" s="433"/>
      <c r="Q42" s="434"/>
      <c r="R42" s="424"/>
      <c r="S42" s="432"/>
      <c r="T42" s="431">
        <f t="shared" si="1"/>
        <v>0</v>
      </c>
    </row>
    <row r="43" spans="1:20" ht="18" customHeight="1">
      <c r="A43" s="1576"/>
      <c r="B43" s="1577"/>
      <c r="C43" s="433"/>
      <c r="D43" s="433"/>
      <c r="E43" s="1578"/>
      <c r="F43" s="1577"/>
      <c r="G43" s="433"/>
      <c r="H43" s="1578"/>
      <c r="I43" s="1577"/>
      <c r="J43" s="433"/>
      <c r="K43" s="1578"/>
      <c r="L43" s="1577"/>
      <c r="M43" s="433"/>
      <c r="N43" s="1578"/>
      <c r="O43" s="1577"/>
      <c r="P43" s="433"/>
      <c r="Q43" s="434"/>
      <c r="R43" s="424"/>
      <c r="S43" s="432"/>
      <c r="T43" s="431">
        <f t="shared" si="1"/>
        <v>0</v>
      </c>
    </row>
    <row r="44" spans="1:20" ht="18" customHeight="1">
      <c r="A44" s="1576"/>
      <c r="B44" s="1577"/>
      <c r="C44" s="433"/>
      <c r="D44" s="433"/>
      <c r="E44" s="1578"/>
      <c r="F44" s="1577"/>
      <c r="G44" s="433"/>
      <c r="H44" s="1578"/>
      <c r="I44" s="1577"/>
      <c r="J44" s="433"/>
      <c r="K44" s="1578"/>
      <c r="L44" s="1577"/>
      <c r="M44" s="433"/>
      <c r="N44" s="1578"/>
      <c r="O44" s="1577"/>
      <c r="P44" s="433"/>
      <c r="Q44" s="434"/>
      <c r="R44" s="424"/>
      <c r="S44" s="432"/>
      <c r="T44" s="431">
        <f t="shared" si="1"/>
        <v>0</v>
      </c>
    </row>
    <row r="45" spans="1:20" ht="146.25" hidden="1" customHeight="1">
      <c r="A45" s="1576"/>
      <c r="B45" s="1577"/>
      <c r="C45" s="433"/>
      <c r="D45" s="433"/>
      <c r="E45" s="1578"/>
      <c r="F45" s="1577"/>
      <c r="G45" s="433"/>
      <c r="H45" s="1578"/>
      <c r="I45" s="1577"/>
      <c r="J45" s="433"/>
      <c r="K45" s="1578"/>
      <c r="L45" s="1577"/>
      <c r="M45" s="433"/>
      <c r="N45" s="1578"/>
      <c r="O45" s="1577"/>
      <c r="P45" s="433"/>
      <c r="Q45" s="434"/>
      <c r="R45" s="424"/>
      <c r="S45" s="432"/>
      <c r="T45" s="431">
        <f t="shared" si="1"/>
        <v>0</v>
      </c>
    </row>
    <row r="46" spans="1:20" ht="6" hidden="1" customHeight="1">
      <c r="A46" s="1576"/>
      <c r="B46" s="1577"/>
      <c r="C46" s="433"/>
      <c r="D46" s="433"/>
      <c r="E46" s="1578"/>
      <c r="F46" s="1577"/>
      <c r="G46" s="433"/>
      <c r="H46" s="1578"/>
      <c r="I46" s="1577"/>
      <c r="J46" s="433"/>
      <c r="K46" s="1578"/>
      <c r="L46" s="1577"/>
      <c r="M46" s="433"/>
      <c r="N46" s="1578"/>
      <c r="O46" s="1577"/>
      <c r="P46" s="433"/>
      <c r="Q46" s="434"/>
      <c r="R46" s="424"/>
      <c r="S46" s="432"/>
      <c r="T46" s="431">
        <f t="shared" si="1"/>
        <v>0</v>
      </c>
    </row>
    <row r="47" spans="1:20" ht="6" hidden="1" customHeight="1">
      <c r="A47" s="1576"/>
      <c r="B47" s="1577"/>
      <c r="C47" s="433"/>
      <c r="D47" s="433"/>
      <c r="E47" s="1578"/>
      <c r="F47" s="1577"/>
      <c r="G47" s="433"/>
      <c r="H47" s="1578"/>
      <c r="I47" s="1577"/>
      <c r="J47" s="433"/>
      <c r="K47" s="1578"/>
      <c r="L47" s="1577"/>
      <c r="M47" s="433"/>
      <c r="N47" s="1578"/>
      <c r="O47" s="1577"/>
      <c r="P47" s="433"/>
      <c r="Q47" s="434"/>
      <c r="R47" s="424"/>
      <c r="S47" s="432"/>
      <c r="T47" s="431">
        <f t="shared" si="1"/>
        <v>0</v>
      </c>
    </row>
    <row r="48" spans="1:20" ht="6" hidden="1" customHeight="1">
      <c r="A48" s="1576"/>
      <c r="B48" s="1577"/>
      <c r="C48" s="433"/>
      <c r="D48" s="433"/>
      <c r="E48" s="1578"/>
      <c r="F48" s="1577"/>
      <c r="G48" s="433"/>
      <c r="H48" s="1578"/>
      <c r="I48" s="1577"/>
      <c r="J48" s="433"/>
      <c r="K48" s="1578"/>
      <c r="L48" s="1577"/>
      <c r="M48" s="433"/>
      <c r="N48" s="1578"/>
      <c r="O48" s="1577"/>
      <c r="P48" s="433"/>
      <c r="Q48" s="434"/>
      <c r="R48" s="424"/>
      <c r="S48" s="432"/>
      <c r="T48" s="431">
        <f t="shared" si="1"/>
        <v>0</v>
      </c>
    </row>
    <row r="49" spans="1:20" ht="15" customHeight="1">
      <c r="A49" s="1576"/>
      <c r="B49" s="1577"/>
      <c r="C49" s="433"/>
      <c r="D49" s="433"/>
      <c r="E49" s="1578"/>
      <c r="F49" s="1577"/>
      <c r="G49" s="433"/>
      <c r="H49" s="1578"/>
      <c r="I49" s="1577"/>
      <c r="J49" s="433"/>
      <c r="K49" s="1578"/>
      <c r="L49" s="1577"/>
      <c r="M49" s="433"/>
      <c r="N49" s="1578"/>
      <c r="O49" s="1577"/>
      <c r="P49" s="433"/>
      <c r="Q49" s="434"/>
      <c r="R49" s="424"/>
      <c r="S49" s="432"/>
      <c r="T49" s="431">
        <f t="shared" si="1"/>
        <v>0</v>
      </c>
    </row>
    <row r="50" spans="1:20" ht="15.75" customHeight="1">
      <c r="A50" s="1576"/>
      <c r="B50" s="1577"/>
      <c r="C50" s="433"/>
      <c r="D50" s="433"/>
      <c r="E50" s="1578"/>
      <c r="F50" s="1577"/>
      <c r="G50" s="433"/>
      <c r="H50" s="1578"/>
      <c r="I50" s="1577"/>
      <c r="J50" s="433"/>
      <c r="K50" s="1578"/>
      <c r="L50" s="1577"/>
      <c r="M50" s="433"/>
      <c r="N50" s="1578"/>
      <c r="O50" s="1577"/>
      <c r="P50" s="433"/>
      <c r="Q50" s="434"/>
      <c r="R50" s="424"/>
      <c r="S50" s="432"/>
      <c r="T50" s="431">
        <f t="shared" si="1"/>
        <v>0</v>
      </c>
    </row>
    <row r="51" spans="1:20" ht="21" customHeight="1">
      <c r="A51" s="1568" t="s">
        <v>430</v>
      </c>
      <c r="B51" s="1565"/>
      <c r="C51" s="436" t="str">
        <f>DATOS!$G$33</f>
        <v>#</v>
      </c>
      <c r="D51" s="435" t="s">
        <v>431</v>
      </c>
      <c r="E51" s="436" t="str">
        <f>DATOS!$G$34</f>
        <v>#</v>
      </c>
      <c r="F51" s="1565" t="s">
        <v>432</v>
      </c>
      <c r="G51" s="1565"/>
      <c r="H51" s="437"/>
      <c r="I51" s="435" t="s">
        <v>433</v>
      </c>
      <c r="J51" s="438" t="str">
        <f>DATOS!$G$35</f>
        <v>#</v>
      </c>
      <c r="K51" s="435" t="s">
        <v>434</v>
      </c>
      <c r="L51" s="438" t="str">
        <f>DATOS!$G$36</f>
        <v>#</v>
      </c>
      <c r="M51" s="1565" t="s">
        <v>435</v>
      </c>
      <c r="N51" s="1565"/>
      <c r="O51" s="1579" t="s">
        <v>39</v>
      </c>
      <c r="P51" s="1579"/>
      <c r="Q51" s="1565" t="s">
        <v>436</v>
      </c>
      <c r="R51" s="1565"/>
      <c r="S51" s="1565"/>
      <c r="T51" s="439" t="s">
        <v>674</v>
      </c>
    </row>
    <row r="52" spans="1:20" ht="18" customHeight="1">
      <c r="A52" s="1566" t="s">
        <v>377</v>
      </c>
      <c r="B52" s="1567"/>
      <c r="C52" s="1572" t="str">
        <f>DATOS!$G$27</f>
        <v>#</v>
      </c>
      <c r="D52" s="1572"/>
      <c r="E52" s="1572"/>
      <c r="F52" s="1572"/>
      <c r="G52" s="1572"/>
      <c r="H52" s="313" t="s">
        <v>378</v>
      </c>
      <c r="I52" s="440" t="str">
        <f>DATOS!$G$28</f>
        <v>#</v>
      </c>
      <c r="J52" s="312" t="s">
        <v>446</v>
      </c>
      <c r="K52" s="307" t="str">
        <f>DATOS!$G$38</f>
        <v>#</v>
      </c>
      <c r="L52" s="441" t="s">
        <v>337</v>
      </c>
      <c r="M52" s="440" t="str">
        <f>DATOS!$G$37</f>
        <v>#</v>
      </c>
      <c r="N52" s="1573" t="s">
        <v>380</v>
      </c>
      <c r="O52" s="1573"/>
      <c r="P52" s="1572" t="str">
        <f>DATOS!$G$29</f>
        <v>#</v>
      </c>
      <c r="Q52" s="1572"/>
      <c r="R52" s="1572"/>
      <c r="S52" s="416" t="s">
        <v>381</v>
      </c>
      <c r="T52" s="449" t="str">
        <f>DATOS!$G$30</f>
        <v>#</v>
      </c>
    </row>
    <row r="53" spans="1:20" ht="23.25" customHeight="1">
      <c r="A53" s="1568" t="s">
        <v>437</v>
      </c>
      <c r="B53" s="1565"/>
      <c r="C53" s="1569" t="str">
        <f>DATOS!$G$7</f>
        <v>#</v>
      </c>
      <c r="D53" s="1569"/>
      <c r="E53" s="1569"/>
      <c r="F53" s="1569"/>
      <c r="G53" s="1569"/>
      <c r="H53" s="1569"/>
      <c r="I53" s="1569"/>
      <c r="J53" s="1569"/>
      <c r="K53" s="1569"/>
      <c r="L53" s="1569"/>
      <c r="M53" s="1565" t="s">
        <v>438</v>
      </c>
      <c r="N53" s="1565"/>
      <c r="O53" s="1565"/>
      <c r="P53" s="442" t="s">
        <v>439</v>
      </c>
      <c r="Q53" s="1570" t="str">
        <f>DATOS!$G$8</f>
        <v>#</v>
      </c>
      <c r="R53" s="1570"/>
      <c r="S53" s="1570"/>
      <c r="T53" s="1571"/>
    </row>
    <row r="54" spans="1:20" ht="45" customHeight="1">
      <c r="A54" s="1535"/>
      <c r="B54" s="1536"/>
      <c r="C54" s="1574" t="s">
        <v>440</v>
      </c>
      <c r="D54" s="1574"/>
      <c r="E54" s="1574"/>
      <c r="F54" s="1574"/>
      <c r="G54" s="1574"/>
      <c r="H54" s="1574"/>
      <c r="I54" s="1574"/>
      <c r="J54" s="1574"/>
      <c r="K54" s="1574"/>
      <c r="L54" s="1574"/>
      <c r="M54" s="1536"/>
      <c r="N54" s="1536"/>
      <c r="O54" s="1536"/>
      <c r="P54" s="1536"/>
      <c r="Q54" s="1536"/>
      <c r="R54" s="1536"/>
      <c r="S54" s="1536"/>
      <c r="T54" s="1537"/>
    </row>
    <row r="55" spans="1:20" ht="15" customHeight="1">
      <c r="A55" s="1535"/>
      <c r="B55" s="1536"/>
      <c r="C55" s="1536"/>
      <c r="D55" s="1536"/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6"/>
      <c r="P55" s="1536"/>
      <c r="Q55" s="1536"/>
      <c r="R55" s="1536"/>
      <c r="S55" s="1536"/>
      <c r="T55" s="1537"/>
    </row>
    <row r="56" spans="1:20" ht="15" customHeight="1">
      <c r="A56" s="1535"/>
      <c r="B56" s="1536"/>
      <c r="C56" s="1536"/>
      <c r="D56" s="1536"/>
      <c r="E56" s="1536"/>
      <c r="F56" s="1536"/>
      <c r="G56" s="1536"/>
      <c r="H56" s="1536"/>
      <c r="I56" s="1536"/>
      <c r="J56" s="1536"/>
      <c r="K56" s="1536"/>
      <c r="L56" s="1536"/>
      <c r="M56" s="1536"/>
      <c r="N56" s="1536"/>
      <c r="O56" s="1536"/>
      <c r="P56" s="1536"/>
      <c r="Q56" s="1536"/>
      <c r="R56" s="1536"/>
      <c r="S56" s="1536"/>
      <c r="T56" s="1537"/>
    </row>
    <row r="57" spans="1:20" ht="60" customHeight="1">
      <c r="A57" s="1535"/>
      <c r="B57" s="1536"/>
      <c r="C57" s="1536"/>
      <c r="D57" s="1536"/>
      <c r="E57" s="1536"/>
      <c r="F57" s="1536"/>
      <c r="G57" s="1536"/>
      <c r="H57" s="1536"/>
      <c r="I57" s="1536"/>
      <c r="J57" s="1536"/>
      <c r="K57" s="1536"/>
      <c r="L57" s="1536"/>
      <c r="M57" s="1536"/>
      <c r="N57" s="1536"/>
      <c r="O57" s="1536"/>
      <c r="P57" s="1536"/>
      <c r="Q57" s="1536"/>
      <c r="R57" s="1536"/>
      <c r="S57" s="1536"/>
      <c r="T57" s="1537"/>
    </row>
    <row r="58" spans="1:20" ht="33" customHeight="1">
      <c r="A58" s="1568" t="s">
        <v>441</v>
      </c>
      <c r="B58" s="1565"/>
      <c r="C58" s="1565"/>
      <c r="D58" s="1575"/>
      <c r="E58" s="1575"/>
      <c r="F58" s="1575"/>
      <c r="G58" s="1575"/>
      <c r="H58" s="1575"/>
      <c r="I58" s="1536"/>
      <c r="J58" s="1536"/>
      <c r="K58" s="1536"/>
      <c r="L58" s="1536"/>
      <c r="M58" s="1536"/>
      <c r="N58" s="1536"/>
      <c r="O58" s="1536"/>
      <c r="P58" s="1536"/>
      <c r="Q58" s="1536"/>
      <c r="R58" s="1536"/>
      <c r="S58" s="1536"/>
      <c r="T58" s="1537"/>
    </row>
    <row r="59" spans="1:20" ht="6.75" hidden="1" customHeight="1">
      <c r="A59" s="1538"/>
      <c r="B59" s="1539"/>
      <c r="C59" s="1539"/>
      <c r="D59" s="1539"/>
      <c r="E59" s="1539"/>
      <c r="F59" s="1539"/>
      <c r="G59" s="1539"/>
      <c r="H59" s="1539"/>
      <c r="I59" s="1539"/>
      <c r="J59" s="1539"/>
      <c r="K59" s="1539"/>
      <c r="L59" s="1539"/>
      <c r="M59" s="1539"/>
      <c r="N59" s="1539"/>
      <c r="O59" s="1539"/>
      <c r="P59" s="1539"/>
      <c r="Q59" s="1539"/>
      <c r="R59" s="1539"/>
      <c r="S59" s="1539"/>
      <c r="T59" s="1540"/>
    </row>
    <row r="60" spans="1:20" ht="114" customHeight="1" thickBot="1">
      <c r="A60" s="1562"/>
      <c r="B60" s="1563"/>
      <c r="C60" s="1563"/>
      <c r="D60" s="1563"/>
      <c r="E60" s="1563"/>
      <c r="F60" s="1563"/>
      <c r="G60" s="1563"/>
      <c r="H60" s="1563"/>
      <c r="I60" s="1563"/>
      <c r="J60" s="1563"/>
      <c r="K60" s="1563"/>
      <c r="L60" s="1563"/>
      <c r="M60" s="1563"/>
      <c r="N60" s="1563"/>
      <c r="O60" s="1563"/>
      <c r="P60" s="1563"/>
      <c r="Q60" s="1563"/>
      <c r="R60" s="1563"/>
      <c r="S60" s="1563"/>
      <c r="T60" s="1564"/>
    </row>
    <row r="61" spans="1:20" ht="18" hidden="1" customHeight="1">
      <c r="A61" s="1544"/>
      <c r="B61" s="1545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7"/>
    </row>
    <row r="62" spans="1:20" ht="18" hidden="1" customHeight="1">
      <c r="A62" s="1548"/>
      <c r="B62" s="1549"/>
      <c r="C62" s="1549"/>
      <c r="D62" s="1549"/>
      <c r="E62" s="1549"/>
      <c r="F62" s="1549"/>
      <c r="G62" s="1549"/>
      <c r="H62" s="1549"/>
      <c r="I62" s="1549"/>
      <c r="J62" s="1549"/>
      <c r="K62" s="1549"/>
      <c r="L62" s="1549"/>
      <c r="M62" s="1549"/>
      <c r="N62" s="1549"/>
      <c r="O62" s="1549"/>
      <c r="P62" s="1549"/>
      <c r="Q62" s="1549"/>
      <c r="R62" s="1549"/>
      <c r="S62" s="1549"/>
      <c r="T62" s="1550"/>
    </row>
    <row r="63" spans="1:20" ht="18" hidden="1" customHeight="1">
      <c r="A63" s="1551"/>
      <c r="B63" s="1552"/>
      <c r="C63" s="1552"/>
      <c r="D63" s="1552"/>
      <c r="E63" s="1552"/>
      <c r="F63" s="1552"/>
      <c r="G63" s="1552"/>
      <c r="H63" s="1552"/>
      <c r="I63" s="1552"/>
      <c r="J63" s="1552"/>
      <c r="K63" s="1552"/>
      <c r="L63" s="1552"/>
      <c r="M63" s="1552"/>
      <c r="N63" s="1552"/>
      <c r="O63" s="1552"/>
      <c r="P63" s="1552"/>
      <c r="Q63" s="1552"/>
      <c r="R63" s="1552"/>
      <c r="S63" s="1552"/>
      <c r="T63" s="1553"/>
    </row>
    <row r="64" spans="1:20" ht="18" hidden="1" customHeight="1">
      <c r="A64" s="1551"/>
      <c r="B64" s="1552"/>
      <c r="C64" s="1552"/>
      <c r="D64" s="1552"/>
      <c r="E64" s="1552"/>
      <c r="F64" s="1552"/>
      <c r="G64" s="1552"/>
      <c r="H64" s="1552"/>
      <c r="I64" s="1552"/>
      <c r="J64" s="1552"/>
      <c r="K64" s="1552"/>
      <c r="L64" s="1552"/>
      <c r="M64" s="1552"/>
      <c r="N64" s="1552"/>
      <c r="O64" s="1552"/>
      <c r="P64" s="1552"/>
      <c r="Q64" s="1552"/>
      <c r="R64" s="1552"/>
      <c r="S64" s="1552"/>
      <c r="T64" s="1553"/>
    </row>
    <row r="65" spans="1:20" ht="18" hidden="1" customHeight="1">
      <c r="A65" s="1559"/>
      <c r="B65" s="1560"/>
      <c r="C65" s="1560"/>
      <c r="D65" s="1560"/>
      <c r="E65" s="1560"/>
      <c r="F65" s="1560"/>
      <c r="G65" s="1560"/>
      <c r="H65" s="1560"/>
      <c r="I65" s="1560"/>
      <c r="J65" s="1560"/>
      <c r="K65" s="1560"/>
      <c r="L65" s="1560"/>
      <c r="M65" s="1560"/>
      <c r="N65" s="1560"/>
      <c r="O65" s="1560"/>
      <c r="P65" s="1560"/>
      <c r="Q65" s="1560"/>
      <c r="R65" s="1560"/>
      <c r="S65" s="1560"/>
      <c r="T65" s="1561"/>
    </row>
    <row r="66" spans="1:20" ht="13.5" hidden="1" thickBot="1">
      <c r="A66" s="44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444"/>
    </row>
    <row r="67" spans="1:20" ht="18" customHeight="1" thickBot="1">
      <c r="A67" s="1554" t="s">
        <v>383</v>
      </c>
      <c r="B67" s="1555"/>
      <c r="C67" s="1556" t="str">
        <f>DATOS!$G$5</f>
        <v>#</v>
      </c>
      <c r="D67" s="1557"/>
      <c r="E67" s="1557"/>
      <c r="F67" s="1558"/>
      <c r="G67" s="1532" t="s">
        <v>384</v>
      </c>
      <c r="H67" s="1533"/>
      <c r="I67" s="1533"/>
      <c r="J67" s="1533"/>
      <c r="K67" s="1533"/>
      <c r="L67" s="1532" t="s">
        <v>385</v>
      </c>
      <c r="M67" s="1533"/>
      <c r="N67" s="1533"/>
      <c r="O67" s="1533"/>
      <c r="P67" s="1533"/>
      <c r="Q67" s="1533"/>
      <c r="R67" s="1533"/>
      <c r="S67" s="1533"/>
      <c r="T67" s="1534"/>
    </row>
    <row r="68" spans="1:20" ht="18" customHeight="1">
      <c r="A68" s="1532" t="s">
        <v>39</v>
      </c>
      <c r="B68" s="1533"/>
      <c r="C68" s="1533"/>
      <c r="D68" s="1533"/>
      <c r="E68" s="1533"/>
      <c r="F68" s="1534"/>
      <c r="G68" s="1532"/>
      <c r="H68" s="1533"/>
      <c r="I68" s="1533"/>
      <c r="J68" s="1533"/>
      <c r="K68" s="1534"/>
      <c r="L68" s="1532"/>
      <c r="M68" s="1533"/>
      <c r="N68" s="1533"/>
      <c r="O68" s="1533"/>
      <c r="P68" s="1533"/>
      <c r="Q68" s="1533"/>
      <c r="R68" s="1533"/>
      <c r="S68" s="1533"/>
      <c r="T68" s="1534"/>
    </row>
    <row r="69" spans="1:20" ht="18" customHeight="1">
      <c r="A69" s="1535"/>
      <c r="B69" s="1536"/>
      <c r="C69" s="1536"/>
      <c r="D69" s="1536"/>
      <c r="E69" s="1536"/>
      <c r="F69" s="1537"/>
      <c r="G69" s="1535"/>
      <c r="H69" s="1536"/>
      <c r="I69" s="1536"/>
      <c r="J69" s="1536"/>
      <c r="K69" s="1537"/>
      <c r="L69" s="1535"/>
      <c r="M69" s="1536"/>
      <c r="N69" s="1536"/>
      <c r="O69" s="1536"/>
      <c r="P69" s="1536"/>
      <c r="Q69" s="1536"/>
      <c r="R69" s="1536"/>
      <c r="S69" s="1536"/>
      <c r="T69" s="1537"/>
    </row>
    <row r="70" spans="1:20" ht="18" customHeight="1">
      <c r="A70" s="1535"/>
      <c r="B70" s="1536"/>
      <c r="C70" s="1536"/>
      <c r="D70" s="1536"/>
      <c r="E70" s="1536"/>
      <c r="F70" s="1537"/>
      <c r="G70" s="1535"/>
      <c r="H70" s="1536"/>
      <c r="I70" s="1536"/>
      <c r="J70" s="1536"/>
      <c r="K70" s="1537"/>
      <c r="L70" s="1535"/>
      <c r="M70" s="1536"/>
      <c r="N70" s="1536"/>
      <c r="O70" s="1536"/>
      <c r="P70" s="1536"/>
      <c r="Q70" s="1536"/>
      <c r="R70" s="1536"/>
      <c r="S70" s="1536"/>
      <c r="T70" s="1537"/>
    </row>
    <row r="71" spans="1:20" ht="18" customHeight="1">
      <c r="A71" s="1535"/>
      <c r="B71" s="1536"/>
      <c r="C71" s="1536"/>
      <c r="D71" s="1536"/>
      <c r="E71" s="1536"/>
      <c r="F71" s="1537"/>
      <c r="G71" s="1535"/>
      <c r="H71" s="1536"/>
      <c r="I71" s="1536"/>
      <c r="J71" s="1536"/>
      <c r="K71" s="1537"/>
      <c r="L71" s="1535"/>
      <c r="M71" s="1536"/>
      <c r="N71" s="1536"/>
      <c r="O71" s="1536"/>
      <c r="P71" s="1536"/>
      <c r="Q71" s="1536"/>
      <c r="R71" s="1536"/>
      <c r="S71" s="1536"/>
      <c r="T71" s="1537"/>
    </row>
    <row r="72" spans="1:20" ht="18" customHeight="1">
      <c r="A72" s="1535"/>
      <c r="B72" s="1536"/>
      <c r="C72" s="1536"/>
      <c r="D72" s="1536"/>
      <c r="E72" s="1536"/>
      <c r="F72" s="1537"/>
      <c r="G72" s="1535"/>
      <c r="H72" s="1536"/>
      <c r="I72" s="1536"/>
      <c r="J72" s="1536"/>
      <c r="K72" s="1537"/>
      <c r="L72" s="1535"/>
      <c r="M72" s="1536"/>
      <c r="N72" s="1536"/>
      <c r="O72" s="1536"/>
      <c r="P72" s="1536"/>
      <c r="Q72" s="1536"/>
      <c r="R72" s="1536"/>
      <c r="S72" s="1536"/>
      <c r="T72" s="1537"/>
    </row>
    <row r="73" spans="1:20" ht="18" customHeight="1">
      <c r="A73" s="1535"/>
      <c r="B73" s="1536"/>
      <c r="C73" s="1536"/>
      <c r="D73" s="1536"/>
      <c r="E73" s="1536"/>
      <c r="F73" s="1537"/>
      <c r="G73" s="1535"/>
      <c r="H73" s="1536"/>
      <c r="I73" s="1536"/>
      <c r="J73" s="1536"/>
      <c r="K73" s="1537"/>
      <c r="L73" s="1535"/>
      <c r="M73" s="1536"/>
      <c r="N73" s="1536"/>
      <c r="O73" s="1536"/>
      <c r="P73" s="1536"/>
      <c r="Q73" s="1536"/>
      <c r="R73" s="1536"/>
      <c r="S73" s="1536"/>
      <c r="T73" s="1537"/>
    </row>
    <row r="74" spans="1:20" ht="51.75" customHeight="1" thickBot="1">
      <c r="A74" s="1535"/>
      <c r="B74" s="1536"/>
      <c r="C74" s="1536"/>
      <c r="D74" s="1536"/>
      <c r="E74" s="1536"/>
      <c r="F74" s="1537"/>
      <c r="G74" s="1535"/>
      <c r="H74" s="1536"/>
      <c r="I74" s="1536"/>
      <c r="J74" s="1536"/>
      <c r="K74" s="1537"/>
      <c r="L74" s="1535"/>
      <c r="M74" s="1536"/>
      <c r="N74" s="1536"/>
      <c r="O74" s="1536"/>
      <c r="P74" s="1536"/>
      <c r="Q74" s="1536"/>
      <c r="R74" s="1536"/>
      <c r="S74" s="1536"/>
      <c r="T74" s="1537"/>
    </row>
    <row r="75" spans="1:20" s="445" customFormat="1" ht="12.75" hidden="1" customHeight="1">
      <c r="A75" s="1535"/>
      <c r="B75" s="1536"/>
      <c r="C75" s="1536"/>
      <c r="D75" s="1536"/>
      <c r="E75" s="1536"/>
      <c r="F75" s="1537"/>
      <c r="G75" s="1535"/>
      <c r="H75" s="1536"/>
      <c r="I75" s="1536"/>
      <c r="J75" s="1536"/>
      <c r="K75" s="1537"/>
      <c r="L75" s="1535"/>
      <c r="M75" s="1536"/>
      <c r="N75" s="1536"/>
      <c r="O75" s="1536"/>
      <c r="P75" s="1536"/>
      <c r="Q75" s="1536"/>
      <c r="R75" s="1536"/>
      <c r="S75" s="1536"/>
      <c r="T75" s="1537"/>
    </row>
    <row r="76" spans="1:20" ht="12.75" hidden="1" customHeight="1">
      <c r="A76" s="1535"/>
      <c r="B76" s="1536"/>
      <c r="C76" s="1536"/>
      <c r="D76" s="1536"/>
      <c r="E76" s="1536"/>
      <c r="F76" s="1537"/>
      <c r="G76" s="1535"/>
      <c r="H76" s="1536"/>
      <c r="I76" s="1536"/>
      <c r="J76" s="1536"/>
      <c r="K76" s="1537"/>
      <c r="L76" s="1535"/>
      <c r="M76" s="1536"/>
      <c r="N76" s="1536"/>
      <c r="O76" s="1536"/>
      <c r="P76" s="1536"/>
      <c r="Q76" s="1536"/>
      <c r="R76" s="1536"/>
      <c r="S76" s="1536"/>
      <c r="T76" s="1537"/>
    </row>
    <row r="77" spans="1:20" ht="12.75" hidden="1" customHeight="1">
      <c r="A77" s="1535"/>
      <c r="B77" s="1536"/>
      <c r="C77" s="1536"/>
      <c r="D77" s="1536"/>
      <c r="E77" s="1536"/>
      <c r="F77" s="1537"/>
      <c r="G77" s="1535"/>
      <c r="H77" s="1536"/>
      <c r="I77" s="1536"/>
      <c r="J77" s="1536"/>
      <c r="K77" s="1537"/>
      <c r="L77" s="1535"/>
      <c r="M77" s="1536"/>
      <c r="N77" s="1536"/>
      <c r="O77" s="1536"/>
      <c r="P77" s="1536"/>
      <c r="Q77" s="1536"/>
      <c r="R77" s="1536"/>
      <c r="S77" s="1536"/>
      <c r="T77" s="1537"/>
    </row>
    <row r="78" spans="1:20" ht="12.75" hidden="1" customHeight="1">
      <c r="A78" s="1535"/>
      <c r="B78" s="1536"/>
      <c r="C78" s="1536"/>
      <c r="D78" s="1536"/>
      <c r="E78" s="1536"/>
      <c r="F78" s="1537"/>
      <c r="G78" s="1535"/>
      <c r="H78" s="1536"/>
      <c r="I78" s="1536"/>
      <c r="J78" s="1536"/>
      <c r="K78" s="1537"/>
      <c r="L78" s="1535"/>
      <c r="M78" s="1536"/>
      <c r="N78" s="1536"/>
      <c r="O78" s="1536"/>
      <c r="P78" s="1536"/>
      <c r="Q78" s="1536"/>
      <c r="R78" s="1536"/>
      <c r="S78" s="1536"/>
      <c r="T78" s="1537"/>
    </row>
    <row r="79" spans="1:20" ht="12.75" hidden="1" customHeight="1">
      <c r="A79" s="1535"/>
      <c r="B79" s="1536"/>
      <c r="C79" s="1536"/>
      <c r="D79" s="1536"/>
      <c r="E79" s="1536"/>
      <c r="F79" s="1537"/>
      <c r="G79" s="1535"/>
      <c r="H79" s="1536"/>
      <c r="I79" s="1536"/>
      <c r="J79" s="1536"/>
      <c r="K79" s="1537"/>
      <c r="L79" s="1535"/>
      <c r="M79" s="1536"/>
      <c r="N79" s="1536"/>
      <c r="O79" s="1536"/>
      <c r="P79" s="1536"/>
      <c r="Q79" s="1536"/>
      <c r="R79" s="1536"/>
      <c r="S79" s="1536"/>
      <c r="T79" s="1537"/>
    </row>
    <row r="80" spans="1:20" ht="12.75" hidden="1" customHeight="1">
      <c r="A80" s="1535"/>
      <c r="B80" s="1536"/>
      <c r="C80" s="1536"/>
      <c r="D80" s="1536"/>
      <c r="E80" s="1536"/>
      <c r="F80" s="1537"/>
      <c r="G80" s="1535"/>
      <c r="H80" s="1536"/>
      <c r="I80" s="1536"/>
      <c r="J80" s="1536"/>
      <c r="K80" s="1537"/>
      <c r="L80" s="1535"/>
      <c r="M80" s="1536"/>
      <c r="N80" s="1536"/>
      <c r="O80" s="1536"/>
      <c r="P80" s="1536"/>
      <c r="Q80" s="1536"/>
      <c r="R80" s="1536"/>
      <c r="S80" s="1536"/>
      <c r="T80" s="1537"/>
    </row>
    <row r="81" spans="1:20" ht="12.75" hidden="1" customHeight="1">
      <c r="A81" s="1535"/>
      <c r="B81" s="1536"/>
      <c r="C81" s="1536"/>
      <c r="D81" s="1536"/>
      <c r="E81" s="1536"/>
      <c r="F81" s="1537"/>
      <c r="G81" s="1535"/>
      <c r="H81" s="1536"/>
      <c r="I81" s="1536"/>
      <c r="J81" s="1536"/>
      <c r="K81" s="1537"/>
      <c r="L81" s="1535"/>
      <c r="M81" s="1536"/>
      <c r="N81" s="1536"/>
      <c r="O81" s="1536"/>
      <c r="P81" s="1536"/>
      <c r="Q81" s="1536"/>
      <c r="R81" s="1536"/>
      <c r="S81" s="1536"/>
      <c r="T81" s="1537"/>
    </row>
    <row r="82" spans="1:20" ht="12.75" hidden="1" customHeight="1">
      <c r="A82" s="1538"/>
      <c r="B82" s="1539"/>
      <c r="C82" s="1539"/>
      <c r="D82" s="1539"/>
      <c r="E82" s="1539"/>
      <c r="F82" s="1540"/>
      <c r="G82" s="1538"/>
      <c r="H82" s="1539"/>
      <c r="I82" s="1539"/>
      <c r="J82" s="1539"/>
      <c r="K82" s="1540"/>
      <c r="L82" s="1538"/>
      <c r="M82" s="1539"/>
      <c r="N82" s="1539"/>
      <c r="O82" s="1539"/>
      <c r="P82" s="1539"/>
      <c r="Q82" s="1539"/>
      <c r="R82" s="1539"/>
      <c r="S82" s="1539"/>
      <c r="T82" s="1540"/>
    </row>
    <row r="83" spans="1:20" ht="25.5" customHeight="1" thickBot="1">
      <c r="A83" s="1541" t="s">
        <v>386</v>
      </c>
      <c r="B83" s="1542"/>
      <c r="C83" s="1542"/>
      <c r="D83" s="1542"/>
      <c r="E83" s="1542"/>
      <c r="F83" s="1543"/>
      <c r="G83" s="1541" t="s">
        <v>387</v>
      </c>
      <c r="H83" s="1542"/>
      <c r="I83" s="1542"/>
      <c r="J83" s="1542"/>
      <c r="K83" s="1542"/>
      <c r="L83" s="1541" t="s">
        <v>388</v>
      </c>
      <c r="M83" s="1542"/>
      <c r="N83" s="1542"/>
      <c r="O83" s="1542"/>
      <c r="P83" s="1542"/>
      <c r="Q83" s="1542"/>
      <c r="R83" s="1542"/>
      <c r="S83" s="1542"/>
      <c r="T83" s="1543"/>
    </row>
  </sheetData>
  <mergeCells count="246">
    <mergeCell ref="A1:C6"/>
    <mergeCell ref="D1:Q2"/>
    <mergeCell ref="R1:S1"/>
    <mergeCell ref="R2:S2"/>
    <mergeCell ref="D3:Q3"/>
    <mergeCell ref="D4:T4"/>
    <mergeCell ref="D5:T5"/>
    <mergeCell ref="D6:T7"/>
    <mergeCell ref="A7:B7"/>
    <mergeCell ref="A8:T8"/>
    <mergeCell ref="A9:D9"/>
    <mergeCell ref="F9:G9"/>
    <mergeCell ref="I9:J9"/>
    <mergeCell ref="L9:M9"/>
    <mergeCell ref="O9:P9"/>
    <mergeCell ref="R9:T9"/>
    <mergeCell ref="A10:T10"/>
    <mergeCell ref="A11:D11"/>
    <mergeCell ref="E11:F11"/>
    <mergeCell ref="H11:P11"/>
    <mergeCell ref="Q11:S11"/>
    <mergeCell ref="A12:T12"/>
    <mergeCell ref="A13:D13"/>
    <mergeCell ref="E13:F13"/>
    <mergeCell ref="H13:P13"/>
    <mergeCell ref="R13:S13"/>
    <mergeCell ref="A14:T14"/>
    <mergeCell ref="A15:T15"/>
    <mergeCell ref="A16:B16"/>
    <mergeCell ref="E16:F16"/>
    <mergeCell ref="H16:I16"/>
    <mergeCell ref="K16:L16"/>
    <mergeCell ref="N16:O16"/>
    <mergeCell ref="Q16:T16"/>
    <mergeCell ref="A17:B17"/>
    <mergeCell ref="E17:F17"/>
    <mergeCell ref="H17:I17"/>
    <mergeCell ref="K17:L17"/>
    <mergeCell ref="N17:O17"/>
    <mergeCell ref="Q17:T17"/>
    <mergeCell ref="A18:B18"/>
    <mergeCell ref="E18:F18"/>
    <mergeCell ref="H18:I18"/>
    <mergeCell ref="K18:L18"/>
    <mergeCell ref="N18:O18"/>
    <mergeCell ref="Q18:T18"/>
    <mergeCell ref="A19:B19"/>
    <mergeCell ref="E19:F19"/>
    <mergeCell ref="H19:I19"/>
    <mergeCell ref="K19:L19"/>
    <mergeCell ref="N19:O19"/>
    <mergeCell ref="Q19:T19"/>
    <mergeCell ref="A20:B20"/>
    <mergeCell ref="E20:F20"/>
    <mergeCell ref="H20:I20"/>
    <mergeCell ref="K20:L20"/>
    <mergeCell ref="N20:O20"/>
    <mergeCell ref="Q20:T20"/>
    <mergeCell ref="A21:B21"/>
    <mergeCell ref="E21:F21"/>
    <mergeCell ref="H21:I21"/>
    <mergeCell ref="K21:L21"/>
    <mergeCell ref="N21:O21"/>
    <mergeCell ref="Q21:T21"/>
    <mergeCell ref="A22:B22"/>
    <mergeCell ref="E22:F22"/>
    <mergeCell ref="H22:I22"/>
    <mergeCell ref="K22:L22"/>
    <mergeCell ref="N22:O22"/>
    <mergeCell ref="Q22:T22"/>
    <mergeCell ref="A23:B23"/>
    <mergeCell ref="E23:F23"/>
    <mergeCell ref="H23:I23"/>
    <mergeCell ref="K23:L23"/>
    <mergeCell ref="N23:O23"/>
    <mergeCell ref="Q23:T23"/>
    <mergeCell ref="A24:B24"/>
    <mergeCell ref="E24:F24"/>
    <mergeCell ref="H24:I24"/>
    <mergeCell ref="K24:L24"/>
    <mergeCell ref="N24:O24"/>
    <mergeCell ref="Q24:T24"/>
    <mergeCell ref="A25:B25"/>
    <mergeCell ref="E25:F25"/>
    <mergeCell ref="H25:I25"/>
    <mergeCell ref="K25:L25"/>
    <mergeCell ref="N25:O25"/>
    <mergeCell ref="Q25:T25"/>
    <mergeCell ref="A26:B26"/>
    <mergeCell ref="E26:F26"/>
    <mergeCell ref="H26:I26"/>
    <mergeCell ref="K26:L26"/>
    <mergeCell ref="N26:O26"/>
    <mergeCell ref="Q26:S26"/>
    <mergeCell ref="A27:T27"/>
    <mergeCell ref="A28:B28"/>
    <mergeCell ref="C28:P28"/>
    <mergeCell ref="Q28:S28"/>
    <mergeCell ref="A29:B29"/>
    <mergeCell ref="E29:F29"/>
    <mergeCell ref="H29:I29"/>
    <mergeCell ref="K29:L29"/>
    <mergeCell ref="N29:O29"/>
    <mergeCell ref="A30:B30"/>
    <mergeCell ref="E30:F30"/>
    <mergeCell ref="H30:I30"/>
    <mergeCell ref="K30:L30"/>
    <mergeCell ref="N30:O30"/>
    <mergeCell ref="A31:B31"/>
    <mergeCell ref="E31:F31"/>
    <mergeCell ref="H31:I31"/>
    <mergeCell ref="K31:L31"/>
    <mergeCell ref="N31:O31"/>
    <mergeCell ref="A32:B32"/>
    <mergeCell ref="E32:F32"/>
    <mergeCell ref="H32:I32"/>
    <mergeCell ref="K32:L32"/>
    <mergeCell ref="N32:O32"/>
    <mergeCell ref="A33:B33"/>
    <mergeCell ref="E33:F33"/>
    <mergeCell ref="H33:I33"/>
    <mergeCell ref="K33:L33"/>
    <mergeCell ref="N33:O33"/>
    <mergeCell ref="A34:B34"/>
    <mergeCell ref="E34:F34"/>
    <mergeCell ref="H34:I34"/>
    <mergeCell ref="K34:L34"/>
    <mergeCell ref="N34:O34"/>
    <mergeCell ref="A35:B35"/>
    <mergeCell ref="E35:F35"/>
    <mergeCell ref="H35:I35"/>
    <mergeCell ref="K35:L35"/>
    <mergeCell ref="N35:O35"/>
    <mergeCell ref="A36:B36"/>
    <mergeCell ref="E36:F36"/>
    <mergeCell ref="H36:I36"/>
    <mergeCell ref="K36:L36"/>
    <mergeCell ref="N36:O36"/>
    <mergeCell ref="A37:B37"/>
    <mergeCell ref="E37:F37"/>
    <mergeCell ref="H37:I37"/>
    <mergeCell ref="K37:L37"/>
    <mergeCell ref="N37:O37"/>
    <mergeCell ref="A38:B38"/>
    <mergeCell ref="E38:F38"/>
    <mergeCell ref="H38:I38"/>
    <mergeCell ref="K38:L38"/>
    <mergeCell ref="N38:O38"/>
    <mergeCell ref="A39:B39"/>
    <mergeCell ref="E39:F39"/>
    <mergeCell ref="H39:I39"/>
    <mergeCell ref="K39:L39"/>
    <mergeCell ref="N39:O39"/>
    <mergeCell ref="A40:B40"/>
    <mergeCell ref="E40:F40"/>
    <mergeCell ref="H40:I40"/>
    <mergeCell ref="K40:L40"/>
    <mergeCell ref="N40:O40"/>
    <mergeCell ref="A41:B41"/>
    <mergeCell ref="E41:F41"/>
    <mergeCell ref="H41:I41"/>
    <mergeCell ref="K41:L41"/>
    <mergeCell ref="N41:O41"/>
    <mergeCell ref="A42:B42"/>
    <mergeCell ref="E42:F42"/>
    <mergeCell ref="H42:I42"/>
    <mergeCell ref="K42:L42"/>
    <mergeCell ref="N42:O42"/>
    <mergeCell ref="A43:B43"/>
    <mergeCell ref="E43:F43"/>
    <mergeCell ref="H43:I43"/>
    <mergeCell ref="K43:L43"/>
    <mergeCell ref="N43:O43"/>
    <mergeCell ref="A44:B44"/>
    <mergeCell ref="E44:F44"/>
    <mergeCell ref="H44:I44"/>
    <mergeCell ref="K44:L44"/>
    <mergeCell ref="N44:O44"/>
    <mergeCell ref="A45:B45"/>
    <mergeCell ref="E45:F45"/>
    <mergeCell ref="H45:I45"/>
    <mergeCell ref="K45:L45"/>
    <mergeCell ref="N45:O45"/>
    <mergeCell ref="A46:B46"/>
    <mergeCell ref="E46:F46"/>
    <mergeCell ref="H46:I46"/>
    <mergeCell ref="K46:L46"/>
    <mergeCell ref="N46:O46"/>
    <mergeCell ref="A47:B47"/>
    <mergeCell ref="E47:F47"/>
    <mergeCell ref="H47:I47"/>
    <mergeCell ref="K47:L47"/>
    <mergeCell ref="N47:O47"/>
    <mergeCell ref="A48:B48"/>
    <mergeCell ref="E48:F48"/>
    <mergeCell ref="H48:I48"/>
    <mergeCell ref="K48:L48"/>
    <mergeCell ref="N48:O48"/>
    <mergeCell ref="A49:B49"/>
    <mergeCell ref="E49:F49"/>
    <mergeCell ref="H49:I49"/>
    <mergeCell ref="K49:L49"/>
    <mergeCell ref="N49:O49"/>
    <mergeCell ref="A50:B50"/>
    <mergeCell ref="E50:F50"/>
    <mergeCell ref="H50:I50"/>
    <mergeCell ref="K50:L50"/>
    <mergeCell ref="N50:O50"/>
    <mergeCell ref="A51:B51"/>
    <mergeCell ref="F51:G51"/>
    <mergeCell ref="M51:N51"/>
    <mergeCell ref="O51:P51"/>
    <mergeCell ref="A59:T59"/>
    <mergeCell ref="A60:T60"/>
    <mergeCell ref="Q51:S51"/>
    <mergeCell ref="A52:B52"/>
    <mergeCell ref="A53:B53"/>
    <mergeCell ref="C53:L53"/>
    <mergeCell ref="M53:O53"/>
    <mergeCell ref="Q53:T53"/>
    <mergeCell ref="P52:R52"/>
    <mergeCell ref="N52:O52"/>
    <mergeCell ref="A54:B54"/>
    <mergeCell ref="C54:L54"/>
    <mergeCell ref="M54:T54"/>
    <mergeCell ref="A55:T57"/>
    <mergeCell ref="A58:C58"/>
    <mergeCell ref="D58:H58"/>
    <mergeCell ref="I58:T58"/>
    <mergeCell ref="C52:G52"/>
    <mergeCell ref="A68:F82"/>
    <mergeCell ref="G68:K82"/>
    <mergeCell ref="L68:T82"/>
    <mergeCell ref="A83:F83"/>
    <mergeCell ref="G83:K83"/>
    <mergeCell ref="L83:T83"/>
    <mergeCell ref="A61:B61"/>
    <mergeCell ref="C61:T61"/>
    <mergeCell ref="A62:T62"/>
    <mergeCell ref="A63:T63"/>
    <mergeCell ref="A67:B67"/>
    <mergeCell ref="C67:F67"/>
    <mergeCell ref="G67:K67"/>
    <mergeCell ref="L67:T67"/>
    <mergeCell ref="A64:T64"/>
    <mergeCell ref="A65:T65"/>
  </mergeCells>
  <pageMargins left="1.299212598425197" right="0.19685039370078741" top="0.35433070866141736" bottom="0.15748031496062992" header="0.31496062992125984" footer="0.31496062992125984"/>
  <pageSetup paperSize="9" scale="6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Z46"/>
  <sheetViews>
    <sheetView topLeftCell="A13" workbookViewId="0">
      <selection activeCell="AD15" sqref="AD15"/>
    </sheetView>
  </sheetViews>
  <sheetFormatPr baseColWidth="10" defaultColWidth="9.140625" defaultRowHeight="12.75"/>
  <cols>
    <col min="1" max="22" width="3.42578125" customWidth="1"/>
    <col min="23" max="23" width="5.28515625" customWidth="1"/>
    <col min="24" max="24" width="2.85546875" customWidth="1"/>
    <col min="25" max="25" width="4.85546875" customWidth="1"/>
    <col min="26" max="26" width="4.140625" customWidth="1"/>
    <col min="27" max="27" width="1.7109375" customWidth="1"/>
    <col min="28" max="256" width="11.42578125" customWidth="1"/>
  </cols>
  <sheetData>
    <row r="1" spans="1:26" ht="20.25" customHeight="1">
      <c r="A1" s="1723" t="s">
        <v>514</v>
      </c>
      <c r="B1" s="1723"/>
      <c r="C1" s="1723"/>
      <c r="D1" s="1723"/>
      <c r="E1" s="1723"/>
      <c r="F1" s="1723"/>
      <c r="G1" s="1723"/>
      <c r="H1" s="1723"/>
      <c r="I1" s="1723"/>
      <c r="J1" s="1723"/>
      <c r="K1" s="1723"/>
      <c r="L1" s="1723"/>
      <c r="M1" s="1723"/>
      <c r="N1" s="1723"/>
      <c r="O1" s="1723"/>
      <c r="P1" s="1723"/>
      <c r="Q1" s="1723"/>
      <c r="R1" s="1723"/>
      <c r="S1" s="1723"/>
      <c r="T1" s="1723"/>
      <c r="U1" s="1723"/>
      <c r="V1" s="1723"/>
      <c r="W1" s="1723"/>
      <c r="X1" s="1723"/>
      <c r="Y1" s="1723"/>
      <c r="Z1" s="1723"/>
    </row>
    <row r="2" spans="1:26" ht="15" customHeight="1">
      <c r="A2" s="1724"/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  <c r="M2" s="1724"/>
      <c r="N2" s="1724"/>
      <c r="O2" s="1724"/>
      <c r="P2" s="1724"/>
      <c r="Q2" s="1724"/>
      <c r="R2" s="1724"/>
      <c r="S2" s="1724"/>
      <c r="T2" s="1724"/>
      <c r="U2" s="1724"/>
      <c r="V2" s="1724"/>
      <c r="W2" s="1724"/>
      <c r="X2" s="1724"/>
      <c r="Y2" s="1724"/>
      <c r="Z2" s="1724"/>
    </row>
    <row r="3" spans="1:26" ht="13.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</row>
    <row r="4" spans="1:26" ht="19.5" thickBot="1">
      <c r="A4" s="1725" t="s">
        <v>449</v>
      </c>
      <c r="B4" s="1711"/>
      <c r="C4" s="1711"/>
      <c r="D4" s="1711"/>
      <c r="E4" s="1711"/>
      <c r="F4" s="1702" t="str">
        <f>DATOS!$G$7</f>
        <v>#</v>
      </c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2"/>
      <c r="Y4" s="1702"/>
      <c r="Z4" s="456"/>
    </row>
    <row r="5" spans="1:26" ht="7.5" customHeight="1" thickBot="1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</row>
    <row r="6" spans="1:26" ht="19.5" thickBot="1">
      <c r="A6" s="460" t="s">
        <v>450</v>
      </c>
      <c r="B6" s="461"/>
      <c r="C6" s="461"/>
      <c r="D6" s="1702" t="str">
        <f>DATOS!$G$27</f>
        <v>#</v>
      </c>
      <c r="E6" s="1702"/>
      <c r="F6" s="1702"/>
      <c r="G6" s="1702"/>
      <c r="H6" s="1702"/>
      <c r="I6" s="1702"/>
      <c r="J6" s="1702"/>
      <c r="K6" s="1702"/>
      <c r="L6" s="1702"/>
      <c r="M6" s="1702"/>
      <c r="N6" s="1702"/>
      <c r="O6" s="1702"/>
      <c r="P6" s="461" t="s">
        <v>451</v>
      </c>
      <c r="Q6" s="1702" t="str">
        <f>DATOS!$G$28</f>
        <v>#</v>
      </c>
      <c r="R6" s="1702"/>
      <c r="S6" s="1702"/>
      <c r="T6" s="1702"/>
      <c r="U6" s="1702"/>
      <c r="V6" s="1702"/>
      <c r="W6" s="461"/>
      <c r="X6" s="461"/>
      <c r="Y6" s="461"/>
      <c r="Z6" s="456"/>
    </row>
    <row r="7" spans="1:26" ht="7.5" customHeight="1" thickBot="1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9"/>
    </row>
    <row r="8" spans="1:26" ht="19.5" thickBot="1">
      <c r="A8" s="460" t="s">
        <v>448</v>
      </c>
      <c r="B8" s="461"/>
      <c r="C8" s="461"/>
      <c r="D8" s="1702" t="str">
        <f>DATOS!$G$29</f>
        <v>#</v>
      </c>
      <c r="E8" s="1702"/>
      <c r="F8" s="1702"/>
      <c r="G8" s="1702"/>
      <c r="H8" s="1702"/>
      <c r="I8" s="1702"/>
      <c r="J8" s="1702"/>
      <c r="K8" s="1702"/>
      <c r="L8" s="1702"/>
      <c r="M8" s="1702"/>
      <c r="N8" s="1702"/>
      <c r="O8" s="1702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56"/>
    </row>
    <row r="9" spans="1:26" ht="7.5" customHeight="1" thickBot="1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9"/>
    </row>
    <row r="10" spans="1:26" ht="19.5" thickBot="1">
      <c r="A10" s="460" t="s">
        <v>452</v>
      </c>
      <c r="B10" s="461"/>
      <c r="C10" s="461"/>
      <c r="D10" s="1702" t="s">
        <v>341</v>
      </c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461"/>
      <c r="S10" s="461"/>
      <c r="T10" s="461"/>
      <c r="U10" s="461"/>
      <c r="V10" s="461"/>
      <c r="W10" s="461"/>
      <c r="X10" s="461"/>
      <c r="Y10" s="461"/>
      <c r="Z10" s="456"/>
    </row>
    <row r="11" spans="1:26" ht="7.5" customHeight="1" thickBot="1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9"/>
    </row>
    <row r="12" spans="1:26" ht="19.5" thickBot="1">
      <c r="A12" s="1709" t="s">
        <v>381</v>
      </c>
      <c r="B12" s="1710"/>
      <c r="C12" s="1702" t="str">
        <f>DATOS!$G$30</f>
        <v>#</v>
      </c>
      <c r="D12" s="1702"/>
      <c r="E12" s="1702"/>
      <c r="F12" s="1702"/>
      <c r="G12" s="1702"/>
      <c r="H12" s="1702"/>
      <c r="I12" s="1702"/>
      <c r="J12" s="1702"/>
      <c r="K12" s="1711" t="s">
        <v>453</v>
      </c>
      <c r="L12" s="1711"/>
      <c r="M12" s="1711"/>
      <c r="N12" s="1711"/>
      <c r="O12" s="1702" t="str">
        <f>DATOS!$G$8</f>
        <v>#</v>
      </c>
      <c r="P12" s="1702"/>
      <c r="Q12" s="1702"/>
      <c r="R12" s="1702"/>
      <c r="S12" s="1702"/>
      <c r="T12" s="1702"/>
      <c r="U12" s="1702"/>
      <c r="V12" s="1702"/>
      <c r="W12" s="1702"/>
      <c r="X12" s="1702"/>
      <c r="Y12" s="1702"/>
      <c r="Z12" s="1712"/>
    </row>
    <row r="13" spans="1:26" ht="9" customHeight="1" thickBo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</row>
    <row r="14" spans="1:26" ht="23.25" customHeight="1" thickBot="1">
      <c r="A14" s="1693" t="s">
        <v>454</v>
      </c>
      <c r="B14" s="1694"/>
      <c r="C14" s="1694"/>
      <c r="D14" s="1694"/>
      <c r="E14" s="1694"/>
      <c r="F14" s="1694"/>
      <c r="G14" s="1694"/>
      <c r="H14" s="1694"/>
      <c r="I14" s="1694"/>
      <c r="J14" s="1694"/>
      <c r="K14" s="1694"/>
      <c r="L14" s="1694"/>
      <c r="M14" s="1694"/>
      <c r="N14" s="1694"/>
      <c r="O14" s="1694"/>
      <c r="P14" s="1694"/>
      <c r="Q14" s="1694"/>
      <c r="R14" s="1694"/>
      <c r="S14" s="1694"/>
      <c r="T14" s="1694"/>
      <c r="U14" s="1694"/>
      <c r="V14" s="1694"/>
      <c r="W14" s="1694"/>
      <c r="X14" s="1694"/>
      <c r="Y14" s="1694"/>
      <c r="Z14" s="1695"/>
    </row>
    <row r="15" spans="1:26" ht="18.75" customHeight="1">
      <c r="A15" s="1700" t="s">
        <v>455</v>
      </c>
      <c r="B15" s="1701"/>
      <c r="C15" s="1701"/>
      <c r="D15" s="1701"/>
      <c r="E15" s="1701"/>
      <c r="F15" s="1701"/>
      <c r="G15" s="1701"/>
      <c r="H15" s="1701"/>
      <c r="I15" s="1701"/>
      <c r="J15" s="1701"/>
      <c r="K15" s="1701"/>
      <c r="L15" s="1701"/>
      <c r="M15" s="1701"/>
      <c r="N15" s="1701"/>
      <c r="O15" s="1701"/>
      <c r="P15" s="1701"/>
      <c r="Q15" s="1701"/>
      <c r="R15" s="1701"/>
      <c r="S15" s="462"/>
      <c r="T15" s="462"/>
      <c r="U15" s="462"/>
      <c r="V15" s="463"/>
      <c r="W15" s="463"/>
      <c r="X15" s="463"/>
      <c r="Y15" s="463"/>
      <c r="Z15" s="464"/>
    </row>
    <row r="16" spans="1:26" ht="12.75" customHeight="1">
      <c r="A16" s="1713" t="str">
        <f>DATOS!$G$56</f>
        <v>#</v>
      </c>
      <c r="B16" s="1714"/>
      <c r="C16" s="1714"/>
      <c r="D16" s="1714"/>
      <c r="E16" s="1714"/>
      <c r="F16" s="1714"/>
      <c r="G16" s="1714"/>
      <c r="H16" s="1714"/>
      <c r="I16" s="1714"/>
      <c r="J16" s="1714"/>
      <c r="K16" s="1714"/>
      <c r="L16" s="1714"/>
      <c r="M16" s="1714"/>
      <c r="N16" s="1714"/>
      <c r="O16" s="1714"/>
      <c r="P16" s="1714"/>
      <c r="Q16" s="1714"/>
      <c r="R16" s="1714"/>
      <c r="S16" s="1714"/>
      <c r="T16" s="1714"/>
      <c r="U16" s="1714"/>
      <c r="V16" s="1714"/>
      <c r="W16" s="1714"/>
      <c r="X16" s="1714"/>
      <c r="Y16" s="1714"/>
      <c r="Z16" s="1715"/>
    </row>
    <row r="17" spans="1:26" ht="24" customHeight="1" thickBot="1">
      <c r="A17" s="1716"/>
      <c r="B17" s="1717"/>
      <c r="C17" s="1717"/>
      <c r="D17" s="1717"/>
      <c r="E17" s="1717"/>
      <c r="F17" s="1717"/>
      <c r="G17" s="1717"/>
      <c r="H17" s="1717"/>
      <c r="I17" s="1717"/>
      <c r="J17" s="1717"/>
      <c r="K17" s="1717"/>
      <c r="L17" s="1717"/>
      <c r="M17" s="1717"/>
      <c r="N17" s="1717"/>
      <c r="O17" s="1717"/>
      <c r="P17" s="1717"/>
      <c r="Q17" s="1717"/>
      <c r="R17" s="1717"/>
      <c r="S17" s="1717"/>
      <c r="T17" s="1717"/>
      <c r="U17" s="1717"/>
      <c r="V17" s="1717"/>
      <c r="W17" s="1717"/>
      <c r="X17" s="1717"/>
      <c r="Y17" s="1717"/>
      <c r="Z17" s="1718"/>
    </row>
    <row r="18" spans="1:26" s="465" customFormat="1" ht="21.75" customHeight="1" thickBot="1">
      <c r="A18" s="1719" t="s">
        <v>456</v>
      </c>
      <c r="B18" s="1720"/>
      <c r="C18" s="1720"/>
      <c r="D18" s="1720"/>
      <c r="E18" s="1720"/>
      <c r="F18" s="1720"/>
      <c r="G18" s="1720"/>
      <c r="H18" s="1720"/>
      <c r="I18" s="1720"/>
      <c r="J18" s="1720"/>
      <c r="K18" s="1720"/>
      <c r="L18" s="1720"/>
      <c r="M18" s="1720"/>
      <c r="N18" s="1720"/>
      <c r="O18" s="1721" t="str">
        <f>DATOS!$G$62</f>
        <v>#</v>
      </c>
      <c r="P18" s="1721"/>
      <c r="Q18" s="1721"/>
      <c r="R18" s="1721"/>
      <c r="S18" s="1721"/>
      <c r="T18" s="1721"/>
      <c r="U18" s="1721"/>
      <c r="V18" s="1721"/>
      <c r="W18" s="1721"/>
      <c r="X18" s="1721"/>
      <c r="Y18" s="1721"/>
      <c r="Z18" s="1722"/>
    </row>
    <row r="19" spans="1:26" s="465" customFormat="1" ht="17.25" customHeight="1">
      <c r="A19" s="1700" t="s">
        <v>457</v>
      </c>
      <c r="B19" s="1701"/>
      <c r="C19" s="1701"/>
      <c r="D19" s="1701"/>
      <c r="E19" s="1701"/>
      <c r="F19" s="1701"/>
      <c r="G19" s="1701"/>
      <c r="H19" s="466"/>
      <c r="I19" s="466"/>
      <c r="J19" s="466"/>
      <c r="K19" s="467"/>
      <c r="L19" s="1700" t="s">
        <v>458</v>
      </c>
      <c r="M19" s="1701"/>
      <c r="N19" s="1701"/>
      <c r="O19" s="1701"/>
      <c r="P19" s="1701"/>
      <c r="Q19" s="466"/>
      <c r="R19" s="466"/>
      <c r="S19" s="467"/>
      <c r="T19" s="1700" t="s">
        <v>459</v>
      </c>
      <c r="U19" s="1701"/>
      <c r="V19" s="1701"/>
      <c r="W19" s="1701"/>
      <c r="X19" s="1701"/>
      <c r="Y19" s="1701"/>
      <c r="Z19" s="467"/>
    </row>
    <row r="20" spans="1:26" ht="12.75" customHeight="1">
      <c r="A20" s="1672" t="str">
        <f>DATOS!$G$5</f>
        <v>#</v>
      </c>
      <c r="B20" s="1673"/>
      <c r="C20" s="1673"/>
      <c r="D20" s="1673"/>
      <c r="E20" s="1673"/>
      <c r="F20" s="1673"/>
      <c r="G20" s="1673"/>
      <c r="H20" s="1673"/>
      <c r="I20" s="1673"/>
      <c r="J20" s="1673"/>
      <c r="K20" s="1674"/>
      <c r="L20" s="1703" t="str">
        <f>DATOS!$G$57</f>
        <v>#</v>
      </c>
      <c r="M20" s="1704"/>
      <c r="N20" s="1704"/>
      <c r="O20" s="1704"/>
      <c r="P20" s="1704"/>
      <c r="Q20" s="1704"/>
      <c r="R20" s="1704"/>
      <c r="S20" s="1705"/>
      <c r="T20" s="1703" t="str">
        <f>DATOS!$G$58</f>
        <v>#</v>
      </c>
      <c r="U20" s="1704"/>
      <c r="V20" s="1704"/>
      <c r="W20" s="1704"/>
      <c r="X20" s="1704"/>
      <c r="Y20" s="1704"/>
      <c r="Z20" s="1705"/>
    </row>
    <row r="21" spans="1:26" ht="13.5" customHeight="1" thickBot="1">
      <c r="A21" s="1675"/>
      <c r="B21" s="1676"/>
      <c r="C21" s="1676"/>
      <c r="D21" s="1676"/>
      <c r="E21" s="1676"/>
      <c r="F21" s="1676"/>
      <c r="G21" s="1676"/>
      <c r="H21" s="1676"/>
      <c r="I21" s="1676"/>
      <c r="J21" s="1676"/>
      <c r="K21" s="1677"/>
      <c r="L21" s="1706"/>
      <c r="M21" s="1707"/>
      <c r="N21" s="1707"/>
      <c r="O21" s="1707"/>
      <c r="P21" s="1707"/>
      <c r="Q21" s="1707"/>
      <c r="R21" s="1707"/>
      <c r="S21" s="1708"/>
      <c r="T21" s="1706"/>
      <c r="U21" s="1707"/>
      <c r="V21" s="1707"/>
      <c r="W21" s="1707"/>
      <c r="X21" s="1707"/>
      <c r="Y21" s="1707"/>
      <c r="Z21" s="1708"/>
    </row>
    <row r="22" spans="1:26" ht="20.25" customHeight="1">
      <c r="A22" s="1678" t="s">
        <v>513</v>
      </c>
      <c r="B22" s="1679"/>
      <c r="C22" s="1679"/>
      <c r="D22" s="1679"/>
      <c r="E22" s="1679"/>
      <c r="F22" s="1679"/>
      <c r="G22" s="1679"/>
      <c r="H22" s="1679"/>
      <c r="I22" s="1679"/>
      <c r="J22" s="1679"/>
      <c r="K22" s="1679"/>
      <c r="L22" s="1679"/>
      <c r="M22" s="463"/>
      <c r="N22" s="463"/>
      <c r="O22" s="463"/>
      <c r="P22" s="463"/>
      <c r="Q22" s="463"/>
      <c r="R22" s="463"/>
      <c r="S22" s="463"/>
      <c r="T22" s="468"/>
      <c r="U22" s="468"/>
      <c r="V22" s="468"/>
      <c r="W22" s="468"/>
      <c r="X22" s="468"/>
      <c r="Y22" s="468"/>
      <c r="Z22" s="469"/>
    </row>
    <row r="23" spans="1:26">
      <c r="A23" s="1680" t="str">
        <f>DATOS!$G$59</f>
        <v>#</v>
      </c>
      <c r="B23" s="1681"/>
      <c r="C23" s="1681"/>
      <c r="D23" s="1681"/>
      <c r="E23" s="1681"/>
      <c r="F23" s="1681"/>
      <c r="G23" s="1681"/>
      <c r="H23" s="1681"/>
      <c r="I23" s="1681"/>
      <c r="J23" s="1681"/>
      <c r="K23" s="1681"/>
      <c r="L23" s="1681"/>
      <c r="M23" s="1681"/>
      <c r="N23" s="1681"/>
      <c r="O23" s="1681"/>
      <c r="P23" s="1681"/>
      <c r="Q23" s="1681"/>
      <c r="R23" s="1681"/>
      <c r="S23" s="1681"/>
      <c r="T23" s="1681"/>
      <c r="U23" s="1681"/>
      <c r="V23" s="1681"/>
      <c r="W23" s="1681"/>
      <c r="X23" s="1681"/>
      <c r="Y23" s="1681"/>
      <c r="Z23" s="1682"/>
    </row>
    <row r="24" spans="1:26">
      <c r="A24" s="1680"/>
      <c r="B24" s="1681"/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2"/>
    </row>
    <row r="25" spans="1:26" ht="13.5" thickBot="1">
      <c r="A25" s="1683"/>
      <c r="B25" s="1684"/>
      <c r="C25" s="1684"/>
      <c r="D25" s="1684"/>
      <c r="E25" s="1684"/>
      <c r="F25" s="1684"/>
      <c r="G25" s="1684"/>
      <c r="H25" s="1684"/>
      <c r="I25" s="1684"/>
      <c r="J25" s="1684"/>
      <c r="K25" s="1684"/>
      <c r="L25" s="1684"/>
      <c r="M25" s="1684"/>
      <c r="N25" s="1684"/>
      <c r="O25" s="1684"/>
      <c r="P25" s="1684"/>
      <c r="Q25" s="1684"/>
      <c r="R25" s="1684"/>
      <c r="S25" s="1684"/>
      <c r="T25" s="1684"/>
      <c r="U25" s="1684"/>
      <c r="V25" s="1684"/>
      <c r="W25" s="1684"/>
      <c r="X25" s="1684"/>
      <c r="Y25" s="1684"/>
      <c r="Z25" s="1685"/>
    </row>
    <row r="26" spans="1:26" ht="7.5" customHeight="1" thickBo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</row>
    <row r="27" spans="1:26" ht="24" customHeight="1">
      <c r="A27" s="1700" t="s">
        <v>460</v>
      </c>
      <c r="B27" s="1701"/>
      <c r="C27" s="1701"/>
      <c r="D27" s="1701"/>
      <c r="E27" s="1701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1"/>
    </row>
    <row r="28" spans="1:26" ht="23.25" customHeight="1">
      <c r="A28" s="1687" t="str">
        <f>DATOS!$G$63</f>
        <v>#</v>
      </c>
      <c r="B28" s="1688"/>
      <c r="C28" s="1688"/>
      <c r="D28" s="1688"/>
      <c r="E28" s="1688"/>
      <c r="F28" s="1688"/>
      <c r="G28" s="1688"/>
      <c r="H28" s="1688"/>
      <c r="I28" s="1688"/>
      <c r="J28" s="1688"/>
      <c r="K28" s="1688"/>
      <c r="L28" s="1688"/>
      <c r="M28" s="1688"/>
      <c r="N28" s="1688"/>
      <c r="O28" s="1688"/>
      <c r="P28" s="1688"/>
      <c r="Q28" s="1688"/>
      <c r="R28" s="1688"/>
      <c r="S28" s="1688"/>
      <c r="T28" s="1688"/>
      <c r="U28" s="1688"/>
      <c r="V28" s="1688"/>
      <c r="W28" s="1688"/>
      <c r="X28" s="1688"/>
      <c r="Y28" s="1688"/>
      <c r="Z28" s="1689"/>
    </row>
    <row r="29" spans="1:26" ht="12.75" customHeight="1">
      <c r="A29" s="1687"/>
      <c r="B29" s="1688"/>
      <c r="C29" s="1688"/>
      <c r="D29" s="1688"/>
      <c r="E29" s="1688"/>
      <c r="F29" s="1688"/>
      <c r="G29" s="1688"/>
      <c r="H29" s="1688"/>
      <c r="I29" s="1688"/>
      <c r="J29" s="1688"/>
      <c r="K29" s="1688"/>
      <c r="L29" s="1688"/>
      <c r="M29" s="1688"/>
      <c r="N29" s="1688"/>
      <c r="O29" s="1688"/>
      <c r="P29" s="1688"/>
      <c r="Q29" s="1688"/>
      <c r="R29" s="1688"/>
      <c r="S29" s="1688"/>
      <c r="T29" s="1688"/>
      <c r="U29" s="1688"/>
      <c r="V29" s="1688"/>
      <c r="W29" s="1688"/>
      <c r="X29" s="1688"/>
      <c r="Y29" s="1688"/>
      <c r="Z29" s="1689"/>
    </row>
    <row r="30" spans="1:26" ht="12.75" customHeight="1">
      <c r="A30" s="1687"/>
      <c r="B30" s="1688"/>
      <c r="C30" s="1688"/>
      <c r="D30" s="1688"/>
      <c r="E30" s="1688"/>
      <c r="F30" s="1688"/>
      <c r="G30" s="1688"/>
      <c r="H30" s="1688"/>
      <c r="I30" s="1688"/>
      <c r="J30" s="1688"/>
      <c r="K30" s="1688"/>
      <c r="L30" s="1688"/>
      <c r="M30" s="1688"/>
      <c r="N30" s="1688"/>
      <c r="O30" s="1688"/>
      <c r="P30" s="1688"/>
      <c r="Q30" s="1688"/>
      <c r="R30" s="1688"/>
      <c r="S30" s="1688"/>
      <c r="T30" s="1688"/>
      <c r="U30" s="1688"/>
      <c r="V30" s="1688"/>
      <c r="W30" s="1688"/>
      <c r="X30" s="1688"/>
      <c r="Y30" s="1688"/>
      <c r="Z30" s="1689"/>
    </row>
    <row r="31" spans="1:26" ht="22.5" customHeight="1" thickBot="1">
      <c r="A31" s="1690"/>
      <c r="B31" s="1691"/>
      <c r="C31" s="1691"/>
      <c r="D31" s="1691"/>
      <c r="E31" s="1691"/>
      <c r="F31" s="1691"/>
      <c r="G31" s="1691"/>
      <c r="H31" s="1691"/>
      <c r="I31" s="1691"/>
      <c r="J31" s="1691"/>
      <c r="K31" s="1691"/>
      <c r="L31" s="1691"/>
      <c r="M31" s="1691"/>
      <c r="N31" s="1691"/>
      <c r="O31" s="1691"/>
      <c r="P31" s="1691"/>
      <c r="Q31" s="1691"/>
      <c r="R31" s="1691"/>
      <c r="S31" s="1691"/>
      <c r="T31" s="1691"/>
      <c r="U31" s="1691"/>
      <c r="V31" s="1691"/>
      <c r="W31" s="1691"/>
      <c r="X31" s="1691"/>
      <c r="Y31" s="1691"/>
      <c r="Z31" s="1692"/>
    </row>
    <row r="32" spans="1:26" ht="6" customHeight="1" thickBo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</row>
    <row r="33" spans="1:26" ht="26.25" customHeight="1" thickBot="1">
      <c r="A33" s="1693" t="s">
        <v>461</v>
      </c>
      <c r="B33" s="1694"/>
      <c r="C33" s="1694"/>
      <c r="D33" s="1694"/>
      <c r="E33" s="1694"/>
      <c r="F33" s="1694"/>
      <c r="G33" s="1694"/>
      <c r="H33" s="1694"/>
      <c r="I33" s="1694"/>
      <c r="J33" s="1694"/>
      <c r="K33" s="1694"/>
      <c r="L33" s="1694"/>
      <c r="M33" s="1694"/>
      <c r="N33" s="1694"/>
      <c r="O33" s="1694"/>
      <c r="P33" s="1694"/>
      <c r="Q33" s="1694"/>
      <c r="R33" s="1694"/>
      <c r="S33" s="1694"/>
      <c r="T33" s="1694"/>
      <c r="U33" s="1694"/>
      <c r="V33" s="1694"/>
      <c r="W33" s="1694"/>
      <c r="X33" s="1694"/>
      <c r="Y33" s="1694"/>
      <c r="Z33" s="1695"/>
    </row>
    <row r="34" spans="1:26" ht="18.75">
      <c r="A34" s="1696" t="s">
        <v>462</v>
      </c>
      <c r="B34" s="1697"/>
      <c r="C34" s="1697"/>
      <c r="D34" s="1697"/>
      <c r="E34" s="1697"/>
      <c r="F34" s="1697"/>
      <c r="G34" s="1697"/>
      <c r="H34" s="1697"/>
      <c r="I34" s="1697"/>
      <c r="J34" s="1697"/>
      <c r="K34" s="472" t="str">
        <f>DATOS!$G$60</f>
        <v>NO</v>
      </c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1"/>
    </row>
    <row r="35" spans="1:26" ht="19.5" thickBot="1">
      <c r="A35" s="1698" t="s">
        <v>463</v>
      </c>
      <c r="B35" s="1699"/>
      <c r="C35" s="1699"/>
      <c r="D35" s="1699"/>
      <c r="E35" s="1699"/>
      <c r="F35" s="1699"/>
      <c r="G35" s="1699"/>
      <c r="H35" s="1699"/>
      <c r="I35" s="1699"/>
      <c r="J35" s="1699"/>
      <c r="K35" s="473" t="str">
        <f>DATOS!$G$61</f>
        <v>NO</v>
      </c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5"/>
    </row>
    <row r="36" spans="1:26" ht="6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</row>
    <row r="37" spans="1:26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</row>
    <row r="38" spans="1:26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</row>
    <row r="39" spans="1:26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</row>
    <row r="40" spans="1:26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455" t="s">
        <v>464</v>
      </c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</row>
    <row r="41" spans="1:26" ht="4.5" customHeight="1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</row>
    <row r="42" spans="1:26" ht="12.75" customHeight="1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M42" s="476" t="s">
        <v>465</v>
      </c>
      <c r="N42" s="477" t="str">
        <f>DATOS!$G$18</f>
        <v>#</v>
      </c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</row>
    <row r="43" spans="1:26" ht="15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M43" s="476" t="s">
        <v>466</v>
      </c>
      <c r="N43" s="477" t="str">
        <f>DATOS!$G$20</f>
        <v>#</v>
      </c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</row>
    <row r="44" spans="1:26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M44" s="476" t="s">
        <v>467</v>
      </c>
      <c r="N44" t="str">
        <f>DATOS!$G$21</f>
        <v>#</v>
      </c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</row>
    <row r="45" spans="1:26" ht="1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76" t="s">
        <v>468</v>
      </c>
      <c r="N45" s="1686" t="s">
        <v>515</v>
      </c>
      <c r="O45" s="1686"/>
      <c r="P45" s="1686"/>
      <c r="Q45" s="1686"/>
      <c r="R45" s="1686"/>
      <c r="S45" s="1686"/>
      <c r="T45" s="1686"/>
      <c r="U45" s="1686"/>
      <c r="V45" s="1686"/>
      <c r="W45" s="1686"/>
      <c r="X45" s="455"/>
      <c r="Y45" s="455"/>
      <c r="Z45" s="455"/>
    </row>
    <row r="46" spans="1:26">
      <c r="N46" t="str">
        <f>DATOS!$G$23</f>
        <v>#</v>
      </c>
    </row>
  </sheetData>
  <sheetProtection sheet="1" objects="1" scenarios="1"/>
  <mergeCells count="30">
    <mergeCell ref="A1:Z2"/>
    <mergeCell ref="A4:E4"/>
    <mergeCell ref="F4:Y4"/>
    <mergeCell ref="D6:O6"/>
    <mergeCell ref="Q6:V6"/>
    <mergeCell ref="D8:O8"/>
    <mergeCell ref="L20:S21"/>
    <mergeCell ref="D10:Q10"/>
    <mergeCell ref="A12:B12"/>
    <mergeCell ref="C12:J12"/>
    <mergeCell ref="K12:N12"/>
    <mergeCell ref="O12:Z12"/>
    <mergeCell ref="A14:Z14"/>
    <mergeCell ref="A15:R15"/>
    <mergeCell ref="A16:Z17"/>
    <mergeCell ref="A18:N18"/>
    <mergeCell ref="O18:Z18"/>
    <mergeCell ref="A19:G19"/>
    <mergeCell ref="L19:P19"/>
    <mergeCell ref="T19:Y19"/>
    <mergeCell ref="T20:Z21"/>
    <mergeCell ref="A20:K21"/>
    <mergeCell ref="A22:L22"/>
    <mergeCell ref="A23:Z25"/>
    <mergeCell ref="N45:W45"/>
    <mergeCell ref="A28:Z31"/>
    <mergeCell ref="A33:Z33"/>
    <mergeCell ref="A34:J34"/>
    <mergeCell ref="A35:J35"/>
    <mergeCell ref="A27:E27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BN50"/>
  <sheetViews>
    <sheetView topLeftCell="A10" zoomScaleNormal="100" workbookViewId="0">
      <selection activeCell="B11" sqref="B11:J11"/>
    </sheetView>
  </sheetViews>
  <sheetFormatPr baseColWidth="10" defaultColWidth="9.140625" defaultRowHeight="12.75"/>
  <cols>
    <col min="1" max="1" width="2" customWidth="1"/>
    <col min="2" max="5" width="2.140625" customWidth="1"/>
    <col min="6" max="10" width="8.5703125" customWidth="1"/>
    <col min="11" max="19" width="3.85546875" customWidth="1"/>
    <col min="20" max="24" width="4.28515625" customWidth="1"/>
    <col min="25" max="25" width="5.28515625" customWidth="1"/>
    <col min="26" max="29" width="4.28515625" customWidth="1"/>
    <col min="30" max="36" width="2.140625" customWidth="1"/>
    <col min="37" max="40" width="4.42578125" customWidth="1"/>
    <col min="41" max="52" width="4.85546875" customWidth="1"/>
    <col min="53" max="58" width="3.5703125" customWidth="1"/>
    <col min="59" max="63" width="4.5703125" customWidth="1"/>
    <col min="64" max="69" width="3.5703125" customWidth="1"/>
    <col min="70" max="256" width="11.42578125" customWidth="1"/>
  </cols>
  <sheetData>
    <row r="1" spans="2:66" ht="13.5" thickBot="1"/>
    <row r="2" spans="2:66" ht="36.75" customHeight="1">
      <c r="B2" s="1796" t="str">
        <f>PROTOCOLO!$A$1</f>
        <v>PROTOCOLO DE MEDICION DE LA PUESTA A TIERRA Y CONTINUIDAD DE LAS MASAS</v>
      </c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1797"/>
      <c r="Y2" s="1797"/>
      <c r="Z2" s="1797"/>
      <c r="AA2" s="1797"/>
      <c r="AB2" s="1797"/>
      <c r="AC2" s="1797"/>
      <c r="AD2" s="1797"/>
      <c r="AE2" s="1797"/>
      <c r="AF2" s="1797"/>
      <c r="AG2" s="1797"/>
      <c r="AH2" s="1797"/>
      <c r="AI2" s="1797"/>
      <c r="AJ2" s="1797"/>
      <c r="AK2" s="1797"/>
      <c r="AL2" s="1797"/>
      <c r="AM2" s="1797"/>
      <c r="AN2" s="1797"/>
      <c r="AO2" s="1797"/>
      <c r="AP2" s="1797"/>
      <c r="AQ2" s="1797"/>
      <c r="AR2" s="1797"/>
      <c r="AS2" s="1797"/>
      <c r="AT2" s="1797"/>
      <c r="AU2" s="1797"/>
      <c r="AV2" s="1797"/>
      <c r="AW2" s="1797"/>
      <c r="AX2" s="1797"/>
      <c r="AY2" s="1797"/>
      <c r="AZ2" s="1797"/>
      <c r="BA2" s="1797"/>
      <c r="BB2" s="1797"/>
      <c r="BC2" s="1797"/>
      <c r="BD2" s="1797"/>
      <c r="BE2" s="1797"/>
      <c r="BF2" s="1797"/>
      <c r="BG2" s="1797"/>
      <c r="BH2" s="1797"/>
      <c r="BI2" s="1797"/>
      <c r="BJ2" s="1797"/>
      <c r="BK2" s="1798"/>
    </row>
    <row r="3" spans="2:66" s="484" customFormat="1" ht="15.75" customHeight="1">
      <c r="B3" s="478" t="s">
        <v>469</v>
      </c>
      <c r="C3" s="479"/>
      <c r="D3" s="479"/>
      <c r="E3" s="479"/>
      <c r="F3" s="479"/>
      <c r="G3" s="479"/>
      <c r="H3" s="1799" t="str">
        <f>DATOS!$G$7</f>
        <v>#</v>
      </c>
      <c r="I3" s="1799"/>
      <c r="J3" s="1799"/>
      <c r="K3" s="1799"/>
      <c r="L3" s="1799"/>
      <c r="M3" s="1799"/>
      <c r="N3" s="1799"/>
      <c r="O3" s="1799"/>
      <c r="P3" s="1799"/>
      <c r="Q3" s="1799"/>
      <c r="R3" s="1799"/>
      <c r="S3" s="1799"/>
      <c r="T3" s="1799"/>
      <c r="U3" s="1799"/>
      <c r="V3" s="1799"/>
      <c r="W3" s="1799"/>
      <c r="X3" s="1799"/>
      <c r="Y3" s="1799"/>
      <c r="Z3" s="1799"/>
      <c r="AA3" s="1799"/>
      <c r="AB3" s="1799"/>
      <c r="AC3" s="1799"/>
      <c r="AD3" s="1799"/>
      <c r="AE3" s="1799"/>
      <c r="AF3" s="1799"/>
      <c r="AG3" s="1799"/>
      <c r="AH3" s="1799"/>
      <c r="AI3" s="1799"/>
      <c r="AJ3" s="1799"/>
      <c r="AK3" s="1799"/>
      <c r="AL3" s="1799"/>
      <c r="AM3" s="1799"/>
      <c r="AN3" s="1799"/>
      <c r="AO3" s="479"/>
      <c r="AP3" s="479"/>
      <c r="AQ3" s="479"/>
      <c r="AR3" s="479"/>
      <c r="AS3" s="479"/>
      <c r="AT3" s="479"/>
      <c r="AU3" s="480"/>
      <c r="AV3" s="481" t="s">
        <v>298</v>
      </c>
      <c r="AW3" s="479"/>
      <c r="AX3" s="1800" t="str">
        <f>DATOS!$G$8</f>
        <v>#</v>
      </c>
      <c r="AY3" s="1800"/>
      <c r="AZ3" s="1800"/>
      <c r="BA3" s="1800"/>
      <c r="BB3" s="1800"/>
      <c r="BC3" s="1800"/>
      <c r="BD3" s="1800"/>
      <c r="BE3" s="1800"/>
      <c r="BF3" s="1800"/>
      <c r="BG3" s="1800"/>
      <c r="BH3" s="1800"/>
      <c r="BI3" s="1800"/>
      <c r="BJ3" s="1800"/>
      <c r="BK3" s="482"/>
      <c r="BL3" s="483"/>
      <c r="BM3" s="483"/>
      <c r="BN3" s="483"/>
    </row>
    <row r="4" spans="2:66" s="484" customFormat="1" ht="15.75" customHeight="1">
      <c r="B4" s="1801" t="s">
        <v>450</v>
      </c>
      <c r="C4" s="1799"/>
      <c r="D4" s="1799"/>
      <c r="E4" s="1799"/>
      <c r="F4" s="1799"/>
      <c r="G4" s="485" t="str">
        <f>DATOS!$G$27</f>
        <v>#</v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 t="s">
        <v>378</v>
      </c>
      <c r="W4" s="1800" t="str">
        <f>DATOS!$G$28</f>
        <v>#</v>
      </c>
      <c r="X4" s="1800"/>
      <c r="Y4" s="1800"/>
      <c r="Z4" s="1801" t="s">
        <v>448</v>
      </c>
      <c r="AA4" s="1799"/>
      <c r="AB4" s="1799"/>
      <c r="AC4" s="1800" t="str">
        <f>DATOS!$G$29</f>
        <v>#</v>
      </c>
      <c r="AD4" s="1800"/>
      <c r="AE4" s="1800"/>
      <c r="AF4" s="1800"/>
      <c r="AG4" s="1800"/>
      <c r="AH4" s="1800"/>
      <c r="AI4" s="1800"/>
      <c r="AJ4" s="1800"/>
      <c r="AK4" s="1800"/>
      <c r="AL4" s="1800"/>
      <c r="AM4" s="1800"/>
      <c r="AN4" s="1800"/>
      <c r="AO4" s="1800"/>
      <c r="AP4" s="481" t="s">
        <v>381</v>
      </c>
      <c r="AQ4" s="1800" t="str">
        <f>DATOS!$G$30</f>
        <v>#</v>
      </c>
      <c r="AR4" s="1800"/>
      <c r="AS4" s="1800"/>
      <c r="AT4" s="486" t="s">
        <v>452</v>
      </c>
      <c r="AU4" s="487"/>
      <c r="AV4" s="479"/>
      <c r="AW4" s="1802" t="s">
        <v>341</v>
      </c>
      <c r="AX4" s="1802"/>
      <c r="AY4" s="1802"/>
      <c r="AZ4" s="1802"/>
      <c r="BA4" s="1802"/>
      <c r="BB4" s="1802"/>
      <c r="BC4" s="1802"/>
      <c r="BD4" s="1802"/>
      <c r="BE4" s="1802"/>
      <c r="BF4" s="1802"/>
      <c r="BG4" s="1802"/>
      <c r="BH4" s="1802"/>
      <c r="BI4" s="1802"/>
      <c r="BJ4" s="1802"/>
      <c r="BK4" s="1803"/>
      <c r="BL4" s="488"/>
    </row>
    <row r="5" spans="2:66" ht="3.75" customHeight="1" thickBot="1">
      <c r="B5" s="457"/>
      <c r="C5" s="458"/>
      <c r="D5" s="458"/>
      <c r="E5" s="458"/>
      <c r="F5" s="458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68"/>
      <c r="Y5" s="468"/>
      <c r="Z5" s="490"/>
      <c r="AA5" s="490"/>
      <c r="AB5" s="490"/>
      <c r="AC5" s="490"/>
      <c r="AD5" s="490"/>
      <c r="AE5" s="458"/>
      <c r="AF5" s="458"/>
      <c r="AG5" s="458"/>
      <c r="AH5" s="458"/>
      <c r="AI5" s="458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58"/>
      <c r="AX5" s="458"/>
      <c r="AY5" s="458"/>
      <c r="AZ5" s="458"/>
      <c r="BA5" s="490"/>
      <c r="BB5" s="490"/>
      <c r="BC5" s="490"/>
      <c r="BD5" s="490"/>
      <c r="BE5" s="490"/>
      <c r="BF5" s="490"/>
      <c r="BG5" s="458"/>
      <c r="BH5" s="458"/>
      <c r="BI5" s="458"/>
      <c r="BJ5" s="458"/>
      <c r="BK5" s="459"/>
    </row>
    <row r="6" spans="2:66" ht="32.25" customHeight="1" thickBot="1">
      <c r="B6" s="1744" t="s">
        <v>470</v>
      </c>
      <c r="C6" s="1745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5"/>
      <c r="S6" s="1745"/>
      <c r="T6" s="1745"/>
      <c r="U6" s="1745"/>
      <c r="V6" s="1745"/>
      <c r="W6" s="1745"/>
      <c r="X6" s="1745"/>
      <c r="Y6" s="1745"/>
      <c r="Z6" s="1745"/>
      <c r="AA6" s="1745"/>
      <c r="AB6" s="1745"/>
      <c r="AC6" s="1745"/>
      <c r="AD6" s="1745"/>
      <c r="AE6" s="1745"/>
      <c r="AF6" s="1745"/>
      <c r="AG6" s="1745"/>
      <c r="AH6" s="1745"/>
      <c r="AI6" s="1745"/>
      <c r="AJ6" s="1745"/>
      <c r="AK6" s="1745"/>
      <c r="AL6" s="1745"/>
      <c r="AM6" s="1745"/>
      <c r="AN6" s="1745"/>
      <c r="AO6" s="1745"/>
      <c r="AP6" s="1745"/>
      <c r="AQ6" s="1745"/>
      <c r="AR6" s="1746"/>
      <c r="AS6" s="1746"/>
      <c r="AT6" s="1746"/>
      <c r="AU6" s="1746"/>
      <c r="AV6" s="1746"/>
      <c r="AW6" s="1746"/>
      <c r="AX6" s="1746"/>
      <c r="AY6" s="1746"/>
      <c r="AZ6" s="1746"/>
      <c r="BA6" s="1746"/>
      <c r="BB6" s="1746"/>
      <c r="BC6" s="1746"/>
      <c r="BD6" s="1746"/>
      <c r="BE6" s="1746"/>
      <c r="BF6" s="1746"/>
      <c r="BG6" s="1746"/>
      <c r="BH6" s="1746"/>
      <c r="BI6" s="1746"/>
      <c r="BJ6" s="1746"/>
      <c r="BK6" s="1747"/>
    </row>
    <row r="7" spans="2:66" ht="30" customHeight="1" thickBot="1">
      <c r="B7" s="1748" t="s">
        <v>471</v>
      </c>
      <c r="C7" s="1749"/>
      <c r="D7" s="1749"/>
      <c r="E7" s="1750"/>
      <c r="F7" s="1757" t="s">
        <v>472</v>
      </c>
      <c r="G7" s="1679"/>
      <c r="H7" s="1679"/>
      <c r="I7" s="1679"/>
      <c r="J7" s="1758"/>
      <c r="K7" s="1765" t="s">
        <v>473</v>
      </c>
      <c r="L7" s="1766"/>
      <c r="M7" s="1766"/>
      <c r="N7" s="1766"/>
      <c r="O7" s="1766"/>
      <c r="P7" s="1766"/>
      <c r="Q7" s="1766"/>
      <c r="R7" s="1766"/>
      <c r="S7" s="1767"/>
      <c r="T7" s="1768" t="s">
        <v>474</v>
      </c>
      <c r="U7" s="1769"/>
      <c r="V7" s="1769"/>
      <c r="W7" s="1769"/>
      <c r="X7" s="1769"/>
      <c r="Y7" s="1769"/>
      <c r="Z7" s="1769"/>
      <c r="AA7" s="1769"/>
      <c r="AB7" s="1769"/>
      <c r="AC7" s="1770"/>
      <c r="AD7" s="1771" t="s">
        <v>475</v>
      </c>
      <c r="AE7" s="1772"/>
      <c r="AF7" s="1772"/>
      <c r="AG7" s="1772"/>
      <c r="AH7" s="1772"/>
      <c r="AI7" s="1772"/>
      <c r="AJ7" s="1773"/>
      <c r="AK7" s="1774" t="s">
        <v>476</v>
      </c>
      <c r="AL7" s="1775"/>
      <c r="AM7" s="1775"/>
      <c r="AN7" s="1775"/>
      <c r="AO7" s="1769"/>
      <c r="AP7" s="1769"/>
      <c r="AQ7" s="1769"/>
      <c r="AR7" s="1774" t="s">
        <v>477</v>
      </c>
      <c r="AS7" s="1775"/>
      <c r="AT7" s="1775"/>
      <c r="AU7" s="1775"/>
      <c r="AV7" s="1775"/>
      <c r="AW7" s="1775"/>
      <c r="AX7" s="1775"/>
      <c r="AY7" s="1775"/>
      <c r="AZ7" s="1775"/>
      <c r="BA7" s="1776" t="s">
        <v>478</v>
      </c>
      <c r="BB7" s="1777"/>
      <c r="BC7" s="1777"/>
      <c r="BD7" s="1777"/>
      <c r="BE7" s="1777"/>
      <c r="BF7" s="1778"/>
      <c r="BG7" s="1765" t="s">
        <v>479</v>
      </c>
      <c r="BH7" s="1766"/>
      <c r="BI7" s="1766"/>
      <c r="BJ7" s="1766"/>
      <c r="BK7" s="1767"/>
      <c r="BN7" s="491"/>
    </row>
    <row r="8" spans="2:66" ht="30" customHeight="1">
      <c r="B8" s="1751"/>
      <c r="C8" s="1752"/>
      <c r="D8" s="1752"/>
      <c r="E8" s="1753"/>
      <c r="F8" s="1759"/>
      <c r="G8" s="1760"/>
      <c r="H8" s="1760"/>
      <c r="I8" s="1760"/>
      <c r="J8" s="1761"/>
      <c r="K8" s="1785" t="s">
        <v>480</v>
      </c>
      <c r="L8" s="1786"/>
      <c r="M8" s="1786"/>
      <c r="N8" s="1786"/>
      <c r="O8" s="1786"/>
      <c r="P8" s="1786"/>
      <c r="Q8" s="1786"/>
      <c r="R8" s="1786"/>
      <c r="S8" s="1787"/>
      <c r="T8" s="1785" t="s">
        <v>481</v>
      </c>
      <c r="U8" s="1786"/>
      <c r="V8" s="1786"/>
      <c r="W8" s="1786"/>
      <c r="X8" s="1786"/>
      <c r="Y8" s="1786"/>
      <c r="Z8" s="1786"/>
      <c r="AA8" s="1786"/>
      <c r="AB8" s="1786"/>
      <c r="AC8" s="1787"/>
      <c r="AD8" s="1779" t="s">
        <v>482</v>
      </c>
      <c r="AE8" s="1780"/>
      <c r="AF8" s="1780"/>
      <c r="AG8" s="1780"/>
      <c r="AH8" s="1780"/>
      <c r="AI8" s="1780"/>
      <c r="AJ8" s="1781"/>
      <c r="AK8" s="1776" t="s">
        <v>483</v>
      </c>
      <c r="AL8" s="1777"/>
      <c r="AM8" s="1777"/>
      <c r="AN8" s="1777"/>
      <c r="AO8" s="1757" t="s">
        <v>484</v>
      </c>
      <c r="AP8" s="1679"/>
      <c r="AQ8" s="1758"/>
      <c r="AR8" s="1786" t="s">
        <v>485</v>
      </c>
      <c r="AS8" s="1786"/>
      <c r="AT8" s="1786"/>
      <c r="AU8" s="1786"/>
      <c r="AV8" s="1794" t="s">
        <v>486</v>
      </c>
      <c r="AW8" s="1795"/>
      <c r="AX8" s="1795"/>
      <c r="AY8" s="1795"/>
      <c r="AZ8" s="1795"/>
      <c r="BA8" s="1779"/>
      <c r="BB8" s="1780"/>
      <c r="BC8" s="1780"/>
      <c r="BD8" s="1780"/>
      <c r="BE8" s="1780"/>
      <c r="BF8" s="1781"/>
      <c r="BG8" s="1771"/>
      <c r="BH8" s="1772"/>
      <c r="BI8" s="1772"/>
      <c r="BJ8" s="1772"/>
      <c r="BK8" s="1773"/>
    </row>
    <row r="9" spans="2:66" ht="37.5" customHeight="1">
      <c r="B9" s="1751"/>
      <c r="C9" s="1752"/>
      <c r="D9" s="1752"/>
      <c r="E9" s="1753"/>
      <c r="F9" s="1759"/>
      <c r="G9" s="1760"/>
      <c r="H9" s="1760"/>
      <c r="I9" s="1760"/>
      <c r="J9" s="1761"/>
      <c r="K9" s="1785"/>
      <c r="L9" s="1786"/>
      <c r="M9" s="1786"/>
      <c r="N9" s="1786"/>
      <c r="O9" s="1786"/>
      <c r="P9" s="1786"/>
      <c r="Q9" s="1786"/>
      <c r="R9" s="1786"/>
      <c r="S9" s="1787"/>
      <c r="T9" s="1785"/>
      <c r="U9" s="1786"/>
      <c r="V9" s="1786"/>
      <c r="W9" s="1786"/>
      <c r="X9" s="1786"/>
      <c r="Y9" s="1786"/>
      <c r="Z9" s="1786"/>
      <c r="AA9" s="1786"/>
      <c r="AB9" s="1786"/>
      <c r="AC9" s="1787"/>
      <c r="AD9" s="1779"/>
      <c r="AE9" s="1780"/>
      <c r="AF9" s="1780"/>
      <c r="AG9" s="1780"/>
      <c r="AH9" s="1780"/>
      <c r="AI9" s="1780"/>
      <c r="AJ9" s="1781"/>
      <c r="AK9" s="1779"/>
      <c r="AL9" s="1780"/>
      <c r="AM9" s="1780"/>
      <c r="AN9" s="1780"/>
      <c r="AO9" s="1759"/>
      <c r="AP9" s="1760"/>
      <c r="AQ9" s="1761"/>
      <c r="AR9" s="1786"/>
      <c r="AS9" s="1786"/>
      <c r="AT9" s="1786"/>
      <c r="AU9" s="1786"/>
      <c r="AV9" s="1785"/>
      <c r="AW9" s="1786"/>
      <c r="AX9" s="1786"/>
      <c r="AY9" s="1786"/>
      <c r="AZ9" s="1786"/>
      <c r="BA9" s="1785" t="s">
        <v>487</v>
      </c>
      <c r="BB9" s="1786"/>
      <c r="BC9" s="1786"/>
      <c r="BD9" s="1786"/>
      <c r="BE9" s="1786"/>
      <c r="BF9" s="1787"/>
      <c r="BG9" s="1771"/>
      <c r="BH9" s="1772"/>
      <c r="BI9" s="1772"/>
      <c r="BJ9" s="1772"/>
      <c r="BK9" s="1773"/>
    </row>
    <row r="10" spans="2:66" ht="30" customHeight="1" thickBot="1">
      <c r="B10" s="1754"/>
      <c r="C10" s="1755"/>
      <c r="D10" s="1755"/>
      <c r="E10" s="1756"/>
      <c r="F10" s="1762"/>
      <c r="G10" s="1763"/>
      <c r="H10" s="1763"/>
      <c r="I10" s="1763"/>
      <c r="J10" s="1764"/>
      <c r="K10" s="1788"/>
      <c r="L10" s="1789"/>
      <c r="M10" s="1789"/>
      <c r="N10" s="1789"/>
      <c r="O10" s="1789"/>
      <c r="P10" s="1789"/>
      <c r="Q10" s="1789"/>
      <c r="R10" s="1789"/>
      <c r="S10" s="1790"/>
      <c r="T10" s="1788"/>
      <c r="U10" s="1789"/>
      <c r="V10" s="1789"/>
      <c r="W10" s="1789"/>
      <c r="X10" s="1789"/>
      <c r="Y10" s="1789"/>
      <c r="Z10" s="1789"/>
      <c r="AA10" s="1789"/>
      <c r="AB10" s="1789"/>
      <c r="AC10" s="1790"/>
      <c r="AD10" s="1791"/>
      <c r="AE10" s="1792"/>
      <c r="AF10" s="1792"/>
      <c r="AG10" s="1792"/>
      <c r="AH10" s="1792"/>
      <c r="AI10" s="1792"/>
      <c r="AJ10" s="1793"/>
      <c r="AK10" s="1791"/>
      <c r="AL10" s="1792"/>
      <c r="AM10" s="1792"/>
      <c r="AN10" s="1792"/>
      <c r="AO10" s="1762" t="s">
        <v>488</v>
      </c>
      <c r="AP10" s="1763"/>
      <c r="AQ10" s="1764"/>
      <c r="AR10" s="1783" t="s">
        <v>489</v>
      </c>
      <c r="AS10" s="1783"/>
      <c r="AT10" s="1783"/>
      <c r="AU10" s="1783"/>
      <c r="AV10" s="1762" t="s">
        <v>489</v>
      </c>
      <c r="AW10" s="1763"/>
      <c r="AX10" s="1763"/>
      <c r="AY10" s="1763"/>
      <c r="AZ10" s="1764"/>
      <c r="BA10" s="1788"/>
      <c r="BB10" s="1789"/>
      <c r="BC10" s="1789"/>
      <c r="BD10" s="1789"/>
      <c r="BE10" s="1789"/>
      <c r="BF10" s="1790"/>
      <c r="BG10" s="1782" t="s">
        <v>489</v>
      </c>
      <c r="BH10" s="1783"/>
      <c r="BI10" s="1783"/>
      <c r="BJ10" s="1783"/>
      <c r="BK10" s="1784"/>
    </row>
    <row r="11" spans="2:66" ht="18" customHeight="1">
      <c r="B11" s="1731"/>
      <c r="C11" s="1732"/>
      <c r="D11" s="1732"/>
      <c r="E11" s="1732"/>
      <c r="F11" s="1742"/>
      <c r="G11" s="1739"/>
      <c r="H11" s="1739"/>
      <c r="I11" s="1739"/>
      <c r="J11" s="1739"/>
      <c r="K11" s="1739"/>
      <c r="L11" s="1739"/>
      <c r="M11" s="1739"/>
      <c r="N11" s="1739"/>
      <c r="O11" s="1739"/>
      <c r="P11" s="1739"/>
      <c r="Q11" s="1739"/>
      <c r="R11" s="1739"/>
      <c r="S11" s="1739"/>
      <c r="T11" s="1739"/>
      <c r="U11" s="1739"/>
      <c r="V11" s="1739"/>
      <c r="W11" s="1739"/>
      <c r="X11" s="1739"/>
      <c r="Y11" s="1739"/>
      <c r="Z11" s="1739"/>
      <c r="AA11" s="1739"/>
      <c r="AB11" s="1739"/>
      <c r="AC11" s="1739"/>
      <c r="AD11" s="1739"/>
      <c r="AE11" s="1739"/>
      <c r="AF11" s="1739"/>
      <c r="AG11" s="1739"/>
      <c r="AH11" s="1739"/>
      <c r="AI11" s="1739"/>
      <c r="AJ11" s="1743"/>
      <c r="AK11" s="1739"/>
      <c r="AL11" s="1739"/>
      <c r="AM11" s="1739"/>
      <c r="AN11" s="1739"/>
      <c r="AO11" s="1739"/>
      <c r="AP11" s="1739"/>
      <c r="AQ11" s="1739"/>
      <c r="AR11" s="1739"/>
      <c r="AS11" s="1739"/>
      <c r="AT11" s="1739"/>
      <c r="AU11" s="1739"/>
      <c r="AV11" s="1739"/>
      <c r="AW11" s="1739"/>
      <c r="AX11" s="1739"/>
      <c r="AY11" s="1739"/>
      <c r="AZ11" s="1739"/>
      <c r="BA11" s="1741"/>
      <c r="BB11" s="1741"/>
      <c r="BC11" s="1741"/>
      <c r="BD11" s="1741"/>
      <c r="BE11" s="1741"/>
      <c r="BF11" s="1741"/>
      <c r="BG11" s="1739"/>
      <c r="BH11" s="1739"/>
      <c r="BI11" s="1739"/>
      <c r="BJ11" s="1739"/>
      <c r="BK11" s="1740"/>
    </row>
    <row r="12" spans="2:66" ht="18" customHeight="1">
      <c r="B12" s="1731"/>
      <c r="C12" s="1732"/>
      <c r="D12" s="1732"/>
      <c r="E12" s="1732"/>
      <c r="F12" s="1742"/>
      <c r="G12" s="1739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43"/>
      <c r="AK12" s="1739"/>
      <c r="AL12" s="1739"/>
      <c r="AM12" s="1739"/>
      <c r="AN12" s="1739"/>
      <c r="AO12" s="1739"/>
      <c r="AP12" s="1739"/>
      <c r="AQ12" s="1739"/>
      <c r="AR12" s="1739"/>
      <c r="AS12" s="1739"/>
      <c r="AT12" s="1739"/>
      <c r="AU12" s="1739"/>
      <c r="AV12" s="1739"/>
      <c r="AW12" s="1739"/>
      <c r="AX12" s="1739"/>
      <c r="AY12" s="1739"/>
      <c r="AZ12" s="1739"/>
      <c r="BA12" s="1741"/>
      <c r="BB12" s="1741"/>
      <c r="BC12" s="1741"/>
      <c r="BD12" s="1741"/>
      <c r="BE12" s="1741"/>
      <c r="BF12" s="1741"/>
      <c r="BG12" s="1739"/>
      <c r="BH12" s="1739"/>
      <c r="BI12" s="1739"/>
      <c r="BJ12" s="1739"/>
      <c r="BK12" s="1740"/>
    </row>
    <row r="13" spans="2:66" ht="18" customHeight="1">
      <c r="B13" s="1731"/>
      <c r="C13" s="1732"/>
      <c r="D13" s="1732"/>
      <c r="E13" s="1732"/>
      <c r="F13" s="1733"/>
      <c r="G13" s="1733"/>
      <c r="H13" s="1733"/>
      <c r="I13" s="1733"/>
      <c r="J13" s="1733"/>
      <c r="K13" s="1733"/>
      <c r="L13" s="1733"/>
      <c r="M13" s="1733"/>
      <c r="N13" s="1733"/>
      <c r="O13" s="1733"/>
      <c r="P13" s="1733"/>
      <c r="Q13" s="1733"/>
      <c r="R13" s="1733"/>
      <c r="S13" s="1733"/>
      <c r="T13" s="1733"/>
      <c r="U13" s="1733"/>
      <c r="V13" s="1733"/>
      <c r="W13" s="1733"/>
      <c r="X13" s="1733"/>
      <c r="Y13" s="1733"/>
      <c r="Z13" s="1733"/>
      <c r="AA13" s="1733"/>
      <c r="AB13" s="1733"/>
      <c r="AC13" s="1733"/>
      <c r="AD13" s="1733"/>
      <c r="AE13" s="1733"/>
      <c r="AF13" s="1733"/>
      <c r="AG13" s="1733"/>
      <c r="AH13" s="1733"/>
      <c r="AI13" s="1733"/>
      <c r="AJ13" s="1734"/>
      <c r="AK13" s="1728"/>
      <c r="AL13" s="1728"/>
      <c r="AM13" s="1728"/>
      <c r="AN13" s="1728"/>
      <c r="AO13" s="1728"/>
      <c r="AP13" s="1728"/>
      <c r="AQ13" s="1728"/>
      <c r="AR13" s="1728"/>
      <c r="AS13" s="1728"/>
      <c r="AT13" s="1728"/>
      <c r="AU13" s="1728"/>
      <c r="AV13" s="1728"/>
      <c r="AW13" s="1728"/>
      <c r="AX13" s="1728"/>
      <c r="AY13" s="1728"/>
      <c r="AZ13" s="1728"/>
      <c r="BA13" s="1727"/>
      <c r="BB13" s="1727"/>
      <c r="BC13" s="1727"/>
      <c r="BD13" s="1727"/>
      <c r="BE13" s="1727"/>
      <c r="BF13" s="1727"/>
      <c r="BG13" s="1728"/>
      <c r="BH13" s="1728"/>
      <c r="BI13" s="1728"/>
      <c r="BJ13" s="1728"/>
      <c r="BK13" s="1729"/>
    </row>
    <row r="14" spans="2:66" ht="18" customHeight="1">
      <c r="B14" s="1738"/>
      <c r="C14" s="1733"/>
      <c r="D14" s="1733"/>
      <c r="E14" s="1733"/>
      <c r="F14" s="1733"/>
      <c r="G14" s="1733"/>
      <c r="H14" s="1733"/>
      <c r="I14" s="1733"/>
      <c r="J14" s="1733"/>
      <c r="K14" s="1733"/>
      <c r="L14" s="1733"/>
      <c r="M14" s="1733"/>
      <c r="N14" s="1733"/>
      <c r="O14" s="1733"/>
      <c r="P14" s="1733"/>
      <c r="Q14" s="1733"/>
      <c r="R14" s="1733"/>
      <c r="S14" s="1733"/>
      <c r="T14" s="1733"/>
      <c r="U14" s="1733"/>
      <c r="V14" s="1733"/>
      <c r="W14" s="1733"/>
      <c r="X14" s="1733"/>
      <c r="Y14" s="1733"/>
      <c r="Z14" s="1733"/>
      <c r="AA14" s="1733"/>
      <c r="AB14" s="1733"/>
      <c r="AC14" s="1733"/>
      <c r="AD14" s="1733"/>
      <c r="AE14" s="1733"/>
      <c r="AF14" s="1733"/>
      <c r="AG14" s="1733"/>
      <c r="AH14" s="1733"/>
      <c r="AI14" s="1733"/>
      <c r="AJ14" s="1734"/>
      <c r="AK14" s="1728"/>
      <c r="AL14" s="1728"/>
      <c r="AM14" s="1728"/>
      <c r="AN14" s="1728"/>
      <c r="AO14" s="1728"/>
      <c r="AP14" s="1728"/>
      <c r="AQ14" s="1728"/>
      <c r="AR14" s="1728"/>
      <c r="AS14" s="1728"/>
      <c r="AT14" s="1728"/>
      <c r="AU14" s="1728"/>
      <c r="AV14" s="1728"/>
      <c r="AW14" s="1728"/>
      <c r="AX14" s="1728"/>
      <c r="AY14" s="1728"/>
      <c r="AZ14" s="1728"/>
      <c r="BA14" s="1727"/>
      <c r="BB14" s="1727"/>
      <c r="BC14" s="1727"/>
      <c r="BD14" s="1727"/>
      <c r="BE14" s="1727"/>
      <c r="BF14" s="1727"/>
      <c r="BG14" s="1728"/>
      <c r="BH14" s="1728"/>
      <c r="BI14" s="1728"/>
      <c r="BJ14" s="1728"/>
      <c r="BK14" s="1729"/>
    </row>
    <row r="15" spans="2:66" ht="18" customHeight="1">
      <c r="B15" s="1731"/>
      <c r="C15" s="1732"/>
      <c r="D15" s="1732"/>
      <c r="E15" s="1732"/>
      <c r="F15" s="1733"/>
      <c r="G15" s="1733"/>
      <c r="H15" s="1733"/>
      <c r="I15" s="1733"/>
      <c r="J15" s="1733"/>
      <c r="K15" s="1733"/>
      <c r="L15" s="1733"/>
      <c r="M15" s="1733"/>
      <c r="N15" s="1733"/>
      <c r="O15" s="1733"/>
      <c r="P15" s="1733"/>
      <c r="Q15" s="1733"/>
      <c r="R15" s="1733"/>
      <c r="S15" s="1733"/>
      <c r="T15" s="1733"/>
      <c r="U15" s="1733"/>
      <c r="V15" s="1733"/>
      <c r="W15" s="1733"/>
      <c r="X15" s="1733"/>
      <c r="Y15" s="1733"/>
      <c r="Z15" s="1733"/>
      <c r="AA15" s="1733"/>
      <c r="AB15" s="1733"/>
      <c r="AC15" s="1733"/>
      <c r="AD15" s="1733"/>
      <c r="AE15" s="1733"/>
      <c r="AF15" s="1733"/>
      <c r="AG15" s="1733"/>
      <c r="AH15" s="1733"/>
      <c r="AI15" s="1733"/>
      <c r="AJ15" s="1734"/>
      <c r="AK15" s="1728"/>
      <c r="AL15" s="1728"/>
      <c r="AM15" s="1728"/>
      <c r="AN15" s="1728"/>
      <c r="AO15" s="1728"/>
      <c r="AP15" s="1728"/>
      <c r="AQ15" s="1728"/>
      <c r="AR15" s="1728"/>
      <c r="AS15" s="1728"/>
      <c r="AT15" s="1728"/>
      <c r="AU15" s="1728"/>
      <c r="AV15" s="1728"/>
      <c r="AW15" s="1728"/>
      <c r="AX15" s="1728"/>
      <c r="AY15" s="1728"/>
      <c r="AZ15" s="1728"/>
      <c r="BA15" s="1727"/>
      <c r="BB15" s="1727"/>
      <c r="BC15" s="1727"/>
      <c r="BD15" s="1727"/>
      <c r="BE15" s="1727"/>
      <c r="BF15" s="1727"/>
      <c r="BG15" s="1728"/>
      <c r="BH15" s="1728"/>
      <c r="BI15" s="1728"/>
      <c r="BJ15" s="1728"/>
      <c r="BK15" s="1729"/>
    </row>
    <row r="16" spans="2:66" ht="18" customHeight="1">
      <c r="B16" s="1738"/>
      <c r="C16" s="1733"/>
      <c r="D16" s="1733"/>
      <c r="E16" s="1733"/>
      <c r="F16" s="1733"/>
      <c r="G16" s="1733"/>
      <c r="H16" s="1733"/>
      <c r="I16" s="1733"/>
      <c r="J16" s="1733"/>
      <c r="K16" s="1733"/>
      <c r="L16" s="1733"/>
      <c r="M16" s="1733"/>
      <c r="N16" s="1733"/>
      <c r="O16" s="1733"/>
      <c r="P16" s="1733"/>
      <c r="Q16" s="1733"/>
      <c r="R16" s="1733"/>
      <c r="S16" s="1733"/>
      <c r="T16" s="1733"/>
      <c r="U16" s="1733"/>
      <c r="V16" s="1733"/>
      <c r="W16" s="1733"/>
      <c r="X16" s="1733"/>
      <c r="Y16" s="1733"/>
      <c r="Z16" s="1733"/>
      <c r="AA16" s="1733"/>
      <c r="AB16" s="1733"/>
      <c r="AC16" s="1733"/>
      <c r="AD16" s="1733"/>
      <c r="AE16" s="1733"/>
      <c r="AF16" s="1733"/>
      <c r="AG16" s="1733"/>
      <c r="AH16" s="1733"/>
      <c r="AI16" s="1733"/>
      <c r="AJ16" s="1734"/>
      <c r="AK16" s="1728"/>
      <c r="AL16" s="1728"/>
      <c r="AM16" s="1728"/>
      <c r="AN16" s="1728"/>
      <c r="AO16" s="1728"/>
      <c r="AP16" s="1728"/>
      <c r="AQ16" s="1728"/>
      <c r="AR16" s="1728"/>
      <c r="AS16" s="1728"/>
      <c r="AT16" s="1728"/>
      <c r="AU16" s="1728"/>
      <c r="AV16" s="1728"/>
      <c r="AW16" s="1728"/>
      <c r="AX16" s="1728"/>
      <c r="AY16" s="1728"/>
      <c r="AZ16" s="1728"/>
      <c r="BA16" s="1727"/>
      <c r="BB16" s="1727"/>
      <c r="BC16" s="1727"/>
      <c r="BD16" s="1727"/>
      <c r="BE16" s="1727"/>
      <c r="BF16" s="1727"/>
      <c r="BG16" s="1728"/>
      <c r="BH16" s="1728"/>
      <c r="BI16" s="1728"/>
      <c r="BJ16" s="1728"/>
      <c r="BK16" s="1729"/>
    </row>
    <row r="17" spans="2:65" ht="18" customHeight="1">
      <c r="B17" s="1731"/>
      <c r="C17" s="1732"/>
      <c r="D17" s="1732"/>
      <c r="E17" s="1732"/>
      <c r="F17" s="1733"/>
      <c r="G17" s="1733"/>
      <c r="H17" s="1733"/>
      <c r="I17" s="1733"/>
      <c r="J17" s="1733"/>
      <c r="K17" s="1733"/>
      <c r="L17" s="1733"/>
      <c r="M17" s="1733"/>
      <c r="N17" s="1733"/>
      <c r="O17" s="1733"/>
      <c r="P17" s="1733"/>
      <c r="Q17" s="1733"/>
      <c r="R17" s="1733"/>
      <c r="S17" s="1733"/>
      <c r="T17" s="1733"/>
      <c r="U17" s="1733"/>
      <c r="V17" s="1733"/>
      <c r="W17" s="1733"/>
      <c r="X17" s="1733"/>
      <c r="Y17" s="1733"/>
      <c r="Z17" s="1733"/>
      <c r="AA17" s="1733"/>
      <c r="AB17" s="1733"/>
      <c r="AC17" s="1733"/>
      <c r="AD17" s="1733"/>
      <c r="AE17" s="1733"/>
      <c r="AF17" s="1733"/>
      <c r="AG17" s="1733"/>
      <c r="AH17" s="1733"/>
      <c r="AI17" s="1733"/>
      <c r="AJ17" s="1734"/>
      <c r="AK17" s="1728"/>
      <c r="AL17" s="1728"/>
      <c r="AM17" s="1728"/>
      <c r="AN17" s="1728"/>
      <c r="AO17" s="1728"/>
      <c r="AP17" s="1728"/>
      <c r="AQ17" s="1728"/>
      <c r="AR17" s="1728"/>
      <c r="AS17" s="1728"/>
      <c r="AT17" s="1728"/>
      <c r="AU17" s="1728"/>
      <c r="AV17" s="1728"/>
      <c r="AW17" s="1728"/>
      <c r="AX17" s="1728"/>
      <c r="AY17" s="1728"/>
      <c r="AZ17" s="1728"/>
      <c r="BA17" s="1727"/>
      <c r="BB17" s="1727"/>
      <c r="BC17" s="1727"/>
      <c r="BD17" s="1727"/>
      <c r="BE17" s="1727"/>
      <c r="BF17" s="1727"/>
      <c r="BG17" s="1728"/>
      <c r="BH17" s="1728"/>
      <c r="BI17" s="1728"/>
      <c r="BJ17" s="1728"/>
      <c r="BK17" s="1729"/>
    </row>
    <row r="18" spans="2:65" ht="18" customHeight="1">
      <c r="B18" s="1738"/>
      <c r="C18" s="1733"/>
      <c r="D18" s="1733"/>
      <c r="E18" s="1733"/>
      <c r="F18" s="1733"/>
      <c r="G18" s="1733"/>
      <c r="H18" s="1733"/>
      <c r="I18" s="1733"/>
      <c r="J18" s="1733"/>
      <c r="K18" s="1733"/>
      <c r="L18" s="1733"/>
      <c r="M18" s="1733"/>
      <c r="N18" s="1733"/>
      <c r="O18" s="1733"/>
      <c r="P18" s="1733"/>
      <c r="Q18" s="1733"/>
      <c r="R18" s="1733"/>
      <c r="S18" s="1733"/>
      <c r="T18" s="1733"/>
      <c r="U18" s="1733"/>
      <c r="V18" s="1733"/>
      <c r="W18" s="1733"/>
      <c r="X18" s="1733"/>
      <c r="Y18" s="1733"/>
      <c r="Z18" s="1733"/>
      <c r="AA18" s="1733"/>
      <c r="AB18" s="1733"/>
      <c r="AC18" s="1733"/>
      <c r="AD18" s="1733"/>
      <c r="AE18" s="1733"/>
      <c r="AF18" s="1733"/>
      <c r="AG18" s="1733"/>
      <c r="AH18" s="1733"/>
      <c r="AI18" s="1733"/>
      <c r="AJ18" s="1734"/>
      <c r="AK18" s="1728"/>
      <c r="AL18" s="1728"/>
      <c r="AM18" s="1728"/>
      <c r="AN18" s="1728"/>
      <c r="AO18" s="1728"/>
      <c r="AP18" s="1728"/>
      <c r="AQ18" s="1728"/>
      <c r="AR18" s="1728"/>
      <c r="AS18" s="1728"/>
      <c r="AT18" s="1728"/>
      <c r="AU18" s="1728"/>
      <c r="AV18" s="1728"/>
      <c r="AW18" s="1728"/>
      <c r="AX18" s="1728"/>
      <c r="AY18" s="1728"/>
      <c r="AZ18" s="1728"/>
      <c r="BA18" s="1727"/>
      <c r="BB18" s="1727"/>
      <c r="BC18" s="1727"/>
      <c r="BD18" s="1727"/>
      <c r="BE18" s="1727"/>
      <c r="BF18" s="1727"/>
      <c r="BG18" s="1728"/>
      <c r="BH18" s="1728"/>
      <c r="BI18" s="1728"/>
      <c r="BJ18" s="1728"/>
      <c r="BK18" s="1729"/>
    </row>
    <row r="19" spans="2:65" ht="18" customHeight="1">
      <c r="B19" s="1731"/>
      <c r="C19" s="1732"/>
      <c r="D19" s="1732"/>
      <c r="E19" s="1732"/>
      <c r="F19" s="1733"/>
      <c r="G19" s="1733"/>
      <c r="H19" s="1733"/>
      <c r="I19" s="1733"/>
      <c r="J19" s="1733"/>
      <c r="K19" s="1733"/>
      <c r="L19" s="1733"/>
      <c r="M19" s="1733"/>
      <c r="N19" s="1733"/>
      <c r="O19" s="1733"/>
      <c r="P19" s="1733"/>
      <c r="Q19" s="1733"/>
      <c r="R19" s="1733"/>
      <c r="S19" s="1733"/>
      <c r="T19" s="1733"/>
      <c r="U19" s="1733"/>
      <c r="V19" s="1733"/>
      <c r="W19" s="1733"/>
      <c r="X19" s="1733"/>
      <c r="Y19" s="1733"/>
      <c r="Z19" s="1733"/>
      <c r="AA19" s="1733"/>
      <c r="AB19" s="1733"/>
      <c r="AC19" s="1733"/>
      <c r="AD19" s="1733"/>
      <c r="AE19" s="1733"/>
      <c r="AF19" s="1733"/>
      <c r="AG19" s="1733"/>
      <c r="AH19" s="1733"/>
      <c r="AI19" s="1733"/>
      <c r="AJ19" s="1734"/>
      <c r="AK19" s="1728"/>
      <c r="AL19" s="1728"/>
      <c r="AM19" s="1728"/>
      <c r="AN19" s="1728"/>
      <c r="AO19" s="1728"/>
      <c r="AP19" s="1728"/>
      <c r="AQ19" s="1728"/>
      <c r="AR19" s="1728"/>
      <c r="AS19" s="1728"/>
      <c r="AT19" s="1728"/>
      <c r="AU19" s="1728"/>
      <c r="AV19" s="1728"/>
      <c r="AW19" s="1728"/>
      <c r="AX19" s="1728"/>
      <c r="AY19" s="1728"/>
      <c r="AZ19" s="1728"/>
      <c r="BA19" s="1727"/>
      <c r="BB19" s="1727"/>
      <c r="BC19" s="1727"/>
      <c r="BD19" s="1727"/>
      <c r="BE19" s="1727"/>
      <c r="BF19" s="1727"/>
      <c r="BG19" s="1728"/>
      <c r="BH19" s="1728"/>
      <c r="BI19" s="1728"/>
      <c r="BJ19" s="1728"/>
      <c r="BK19" s="1729"/>
    </row>
    <row r="20" spans="2:65" ht="18" customHeight="1">
      <c r="B20" s="1735"/>
      <c r="C20" s="1736"/>
      <c r="D20" s="1736"/>
      <c r="E20" s="1737"/>
      <c r="F20" s="1734"/>
      <c r="G20" s="1736"/>
      <c r="H20" s="1736"/>
      <c r="I20" s="1736"/>
      <c r="J20" s="1737"/>
      <c r="K20" s="1734"/>
      <c r="L20" s="1736"/>
      <c r="M20" s="1736"/>
      <c r="N20" s="1736"/>
      <c r="O20" s="1736"/>
      <c r="P20" s="1736"/>
      <c r="Q20" s="1736"/>
      <c r="R20" s="1736"/>
      <c r="S20" s="1737"/>
      <c r="T20" s="1734"/>
      <c r="U20" s="1736"/>
      <c r="V20" s="1736"/>
      <c r="W20" s="1736"/>
      <c r="X20" s="1736"/>
      <c r="Y20" s="1736"/>
      <c r="Z20" s="1736"/>
      <c r="AA20" s="1736"/>
      <c r="AB20" s="1736"/>
      <c r="AC20" s="1737"/>
      <c r="AD20" s="1734"/>
      <c r="AE20" s="1736"/>
      <c r="AF20" s="1736"/>
      <c r="AG20" s="1736"/>
      <c r="AH20" s="1736"/>
      <c r="AI20" s="1736"/>
      <c r="AJ20" s="1736"/>
      <c r="AK20" s="1728"/>
      <c r="AL20" s="1728"/>
      <c r="AM20" s="1728"/>
      <c r="AN20" s="1728"/>
      <c r="AO20" s="1728"/>
      <c r="AP20" s="1728"/>
      <c r="AQ20" s="1728"/>
      <c r="AR20" s="1728"/>
      <c r="AS20" s="1728"/>
      <c r="AT20" s="1728"/>
      <c r="AU20" s="1728"/>
      <c r="AV20" s="1728"/>
      <c r="AW20" s="1728"/>
      <c r="AX20" s="1728"/>
      <c r="AY20" s="1728"/>
      <c r="AZ20" s="1728"/>
      <c r="BA20" s="1727"/>
      <c r="BB20" s="1727"/>
      <c r="BC20" s="1727"/>
      <c r="BD20" s="1727"/>
      <c r="BE20" s="1727"/>
      <c r="BF20" s="1727"/>
      <c r="BG20" s="1728"/>
      <c r="BH20" s="1728"/>
      <c r="BI20" s="1728"/>
      <c r="BJ20" s="1728"/>
      <c r="BK20" s="1729"/>
    </row>
    <row r="21" spans="2:65" ht="18" customHeight="1">
      <c r="B21" s="1731"/>
      <c r="C21" s="1732"/>
      <c r="D21" s="1732"/>
      <c r="E21" s="1732"/>
      <c r="F21" s="1733"/>
      <c r="G21" s="1733"/>
      <c r="H21" s="1733"/>
      <c r="I21" s="1733"/>
      <c r="J21" s="1733"/>
      <c r="K21" s="1733"/>
      <c r="L21" s="1733"/>
      <c r="M21" s="1733"/>
      <c r="N21" s="1733"/>
      <c r="O21" s="1733"/>
      <c r="P21" s="1733"/>
      <c r="Q21" s="1733"/>
      <c r="R21" s="1733"/>
      <c r="S21" s="1733"/>
      <c r="T21" s="1733"/>
      <c r="U21" s="1733"/>
      <c r="V21" s="1733"/>
      <c r="W21" s="1733"/>
      <c r="X21" s="1733"/>
      <c r="Y21" s="1733"/>
      <c r="Z21" s="1733"/>
      <c r="AA21" s="1733"/>
      <c r="AB21" s="1733"/>
      <c r="AC21" s="1733"/>
      <c r="AD21" s="1733"/>
      <c r="AE21" s="1733"/>
      <c r="AF21" s="1733"/>
      <c r="AG21" s="1733"/>
      <c r="AH21" s="1733"/>
      <c r="AI21" s="1733"/>
      <c r="AJ21" s="1734"/>
      <c r="AK21" s="1728"/>
      <c r="AL21" s="1728"/>
      <c r="AM21" s="1728"/>
      <c r="AN21" s="1728"/>
      <c r="AO21" s="1728"/>
      <c r="AP21" s="1728"/>
      <c r="AQ21" s="1728"/>
      <c r="AR21" s="1728"/>
      <c r="AS21" s="1728"/>
      <c r="AT21" s="1728"/>
      <c r="AU21" s="1728"/>
      <c r="AV21" s="1728"/>
      <c r="AW21" s="1728"/>
      <c r="AX21" s="1728"/>
      <c r="AY21" s="1728"/>
      <c r="AZ21" s="1728"/>
      <c r="BA21" s="1727"/>
      <c r="BB21" s="1727"/>
      <c r="BC21" s="1727"/>
      <c r="BD21" s="1727"/>
      <c r="BE21" s="1727"/>
      <c r="BF21" s="1727"/>
      <c r="BG21" s="1728"/>
      <c r="BH21" s="1728"/>
      <c r="BI21" s="1728"/>
      <c r="BJ21" s="1728"/>
      <c r="BK21" s="1729"/>
    </row>
    <row r="22" spans="2:65" ht="18" customHeight="1">
      <c r="B22" s="457"/>
      <c r="C22" s="493" t="s">
        <v>490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9"/>
    </row>
    <row r="23" spans="2:65" ht="18" customHeight="1">
      <c r="B23" s="457"/>
      <c r="C23" s="1730"/>
      <c r="D23" s="1730"/>
      <c r="E23" s="1730"/>
      <c r="F23" s="1730"/>
      <c r="G23" s="1730"/>
      <c r="H23" s="1730"/>
      <c r="I23" s="1730"/>
      <c r="J23" s="1730"/>
      <c r="K23" s="1730"/>
      <c r="L23" s="1730"/>
      <c r="M23" s="1730"/>
      <c r="N23" s="1730"/>
      <c r="O23" s="1730"/>
      <c r="P23" s="1730"/>
      <c r="Q23" s="1730"/>
      <c r="R23" s="1730"/>
      <c r="S23" s="1730"/>
      <c r="T23" s="1730"/>
      <c r="U23" s="1730"/>
      <c r="V23" s="1730"/>
      <c r="W23" s="1730"/>
      <c r="X23" s="1730"/>
      <c r="Y23" s="1730"/>
      <c r="Z23" s="1730"/>
      <c r="AA23" s="1730"/>
      <c r="AB23" s="1730"/>
      <c r="AC23" s="1730"/>
      <c r="AD23" s="1730"/>
      <c r="AE23" s="1730"/>
      <c r="AF23" s="1730"/>
      <c r="AG23" s="1730"/>
      <c r="AH23" s="1730"/>
      <c r="AI23" s="1730"/>
      <c r="AJ23" s="1730"/>
      <c r="AK23" s="1730"/>
      <c r="AL23" s="1730"/>
      <c r="AM23" s="1730"/>
      <c r="AN23" s="1730"/>
      <c r="AO23" s="1730"/>
      <c r="AP23" s="1730"/>
      <c r="AQ23" s="1730"/>
      <c r="AR23" s="1730"/>
      <c r="AS23" s="1730"/>
      <c r="AT23" s="1730"/>
      <c r="AU23" s="1730"/>
      <c r="AV23" s="1730"/>
      <c r="AW23" s="1730"/>
      <c r="AX23" s="1730"/>
      <c r="AY23" s="1730"/>
      <c r="AZ23" s="1730"/>
      <c r="BA23" s="1730"/>
      <c r="BB23" s="1730"/>
      <c r="BC23" s="1730"/>
      <c r="BD23" s="1730"/>
      <c r="BE23" s="1730"/>
      <c r="BF23" s="1730"/>
      <c r="BG23" s="1730"/>
      <c r="BH23" s="1730"/>
      <c r="BI23" s="1730"/>
      <c r="BJ23" s="1730"/>
      <c r="BK23" s="459"/>
    </row>
    <row r="24" spans="2:65" ht="18" customHeight="1">
      <c r="B24" s="457"/>
      <c r="C24" s="1730"/>
      <c r="D24" s="1730"/>
      <c r="E24" s="1730"/>
      <c r="F24" s="1730"/>
      <c r="G24" s="1730"/>
      <c r="H24" s="1730"/>
      <c r="I24" s="1730"/>
      <c r="J24" s="1730"/>
      <c r="K24" s="1730"/>
      <c r="L24" s="1730"/>
      <c r="M24" s="1730"/>
      <c r="N24" s="1730"/>
      <c r="O24" s="1730"/>
      <c r="P24" s="1730"/>
      <c r="Q24" s="1730"/>
      <c r="R24" s="1730"/>
      <c r="S24" s="1730"/>
      <c r="T24" s="1730"/>
      <c r="U24" s="1730"/>
      <c r="V24" s="1730"/>
      <c r="W24" s="1730"/>
      <c r="X24" s="1730"/>
      <c r="Y24" s="1730"/>
      <c r="Z24" s="1730"/>
      <c r="AA24" s="1730"/>
      <c r="AB24" s="1730"/>
      <c r="AC24" s="1730"/>
      <c r="AD24" s="1730"/>
      <c r="AE24" s="1730"/>
      <c r="AF24" s="1730"/>
      <c r="AG24" s="1730"/>
      <c r="AH24" s="1730"/>
      <c r="AI24" s="1730"/>
      <c r="AJ24" s="1730"/>
      <c r="AK24" s="1730"/>
      <c r="AL24" s="1730"/>
      <c r="AM24" s="1730"/>
      <c r="AN24" s="1730"/>
      <c r="AO24" s="1730"/>
      <c r="AP24" s="1730"/>
      <c r="AQ24" s="1730"/>
      <c r="AR24" s="1730"/>
      <c r="AS24" s="1730"/>
      <c r="AT24" s="1730"/>
      <c r="AU24" s="1730"/>
      <c r="AV24" s="1730"/>
      <c r="AW24" s="1730"/>
      <c r="AX24" s="1730"/>
      <c r="AY24" s="1730"/>
      <c r="AZ24" s="1730"/>
      <c r="BA24" s="1730"/>
      <c r="BB24" s="1730"/>
      <c r="BC24" s="1730"/>
      <c r="BD24" s="1730"/>
      <c r="BE24" s="1730"/>
      <c r="BF24" s="1730"/>
      <c r="BG24" s="1730"/>
      <c r="BH24" s="1730"/>
      <c r="BI24" s="1730"/>
      <c r="BJ24" s="1730"/>
      <c r="BK24" s="459"/>
      <c r="BL24" s="253"/>
      <c r="BM24" s="253"/>
    </row>
    <row r="25" spans="2:65" ht="18" customHeight="1">
      <c r="B25" s="457"/>
      <c r="C25" s="1730"/>
      <c r="D25" s="1730"/>
      <c r="E25" s="1730"/>
      <c r="F25" s="1730"/>
      <c r="G25" s="1730"/>
      <c r="H25" s="1730"/>
      <c r="I25" s="1730"/>
      <c r="J25" s="1730"/>
      <c r="K25" s="1730"/>
      <c r="L25" s="1730"/>
      <c r="M25" s="1730"/>
      <c r="N25" s="1730"/>
      <c r="O25" s="1730"/>
      <c r="P25" s="1730"/>
      <c r="Q25" s="1730"/>
      <c r="R25" s="1730"/>
      <c r="S25" s="1730"/>
      <c r="T25" s="1730"/>
      <c r="U25" s="1730"/>
      <c r="V25" s="1730"/>
      <c r="W25" s="1730"/>
      <c r="X25" s="1730"/>
      <c r="Y25" s="1730"/>
      <c r="Z25" s="1730"/>
      <c r="AA25" s="1730"/>
      <c r="AB25" s="1730"/>
      <c r="AC25" s="1730"/>
      <c r="AD25" s="1730"/>
      <c r="AE25" s="1730"/>
      <c r="AF25" s="1730"/>
      <c r="AG25" s="1730"/>
      <c r="AH25" s="1730"/>
      <c r="AI25" s="1730"/>
      <c r="AJ25" s="1730"/>
      <c r="AK25" s="1730"/>
      <c r="AL25" s="1730"/>
      <c r="AM25" s="1730"/>
      <c r="AN25" s="1730"/>
      <c r="AO25" s="1730"/>
      <c r="AP25" s="1730"/>
      <c r="AQ25" s="1730"/>
      <c r="AR25" s="1730"/>
      <c r="AS25" s="1730"/>
      <c r="AT25" s="1730"/>
      <c r="AU25" s="1730"/>
      <c r="AV25" s="1730"/>
      <c r="AW25" s="1730"/>
      <c r="AX25" s="1730"/>
      <c r="AY25" s="1730"/>
      <c r="AZ25" s="1730"/>
      <c r="BA25" s="1730"/>
      <c r="BB25" s="1730"/>
      <c r="BC25" s="1730"/>
      <c r="BD25" s="1730"/>
      <c r="BE25" s="1730"/>
      <c r="BF25" s="1730"/>
      <c r="BG25" s="1730"/>
      <c r="BH25" s="1730"/>
      <c r="BI25" s="1730"/>
      <c r="BJ25" s="1730"/>
      <c r="BK25" s="459"/>
      <c r="BL25" s="253"/>
      <c r="BM25" s="253"/>
    </row>
    <row r="26" spans="2:65" ht="18" customHeight="1">
      <c r="B26" s="457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1730"/>
      <c r="AM26" s="1730"/>
      <c r="AN26" s="1730"/>
      <c r="AO26" s="1730"/>
      <c r="AP26" s="1730"/>
      <c r="AQ26" s="1730"/>
      <c r="AR26" s="1730"/>
      <c r="AS26" s="1730"/>
      <c r="AT26" s="1730"/>
      <c r="AU26" s="1730"/>
      <c r="AV26" s="1730"/>
      <c r="AW26" s="1730"/>
      <c r="AX26" s="1730"/>
      <c r="AY26" s="1730"/>
      <c r="AZ26" s="1730"/>
      <c r="BA26" s="1730"/>
      <c r="BB26" s="1730"/>
      <c r="BC26" s="1730"/>
      <c r="BD26" s="1730"/>
      <c r="BE26" s="1730"/>
      <c r="BF26" s="1730"/>
      <c r="BG26" s="1730"/>
      <c r="BH26" s="1730"/>
      <c r="BI26" s="1730"/>
      <c r="BJ26" s="1730"/>
      <c r="BK26" s="459"/>
      <c r="BL26" s="253"/>
      <c r="BM26" s="253"/>
    </row>
    <row r="27" spans="2:65" ht="18" customHeight="1">
      <c r="B27" s="457"/>
      <c r="C27" s="1730"/>
      <c r="D27" s="1730"/>
      <c r="E27" s="1730"/>
      <c r="F27" s="1730"/>
      <c r="G27" s="1730"/>
      <c r="H27" s="1730"/>
      <c r="I27" s="1730"/>
      <c r="J27" s="1730"/>
      <c r="K27" s="1730"/>
      <c r="L27" s="1730"/>
      <c r="M27" s="1730"/>
      <c r="N27" s="1730"/>
      <c r="O27" s="1730"/>
      <c r="P27" s="1730"/>
      <c r="Q27" s="1730"/>
      <c r="R27" s="1730"/>
      <c r="S27" s="1730"/>
      <c r="T27" s="1730"/>
      <c r="U27" s="1730"/>
      <c r="V27" s="1730"/>
      <c r="W27" s="1730"/>
      <c r="X27" s="1730"/>
      <c r="Y27" s="1730"/>
      <c r="Z27" s="1730"/>
      <c r="AA27" s="1730"/>
      <c r="AB27" s="1730"/>
      <c r="AC27" s="1730"/>
      <c r="AD27" s="1730"/>
      <c r="AE27" s="1730"/>
      <c r="AF27" s="1730"/>
      <c r="AG27" s="1730"/>
      <c r="AH27" s="1730"/>
      <c r="AI27" s="1730"/>
      <c r="AJ27" s="1730"/>
      <c r="AK27" s="1730"/>
      <c r="AL27" s="1730"/>
      <c r="AM27" s="1730"/>
      <c r="AN27" s="1730"/>
      <c r="AO27" s="1730"/>
      <c r="AP27" s="1730"/>
      <c r="AQ27" s="1730"/>
      <c r="AR27" s="1730"/>
      <c r="AS27" s="1730"/>
      <c r="AT27" s="1730"/>
      <c r="AU27" s="1730"/>
      <c r="AV27" s="1730"/>
      <c r="AW27" s="1730"/>
      <c r="AX27" s="1730"/>
      <c r="AY27" s="1730"/>
      <c r="AZ27" s="1730"/>
      <c r="BA27" s="1730"/>
      <c r="BB27" s="1730"/>
      <c r="BC27" s="1730"/>
      <c r="BD27" s="1730"/>
      <c r="BE27" s="1730"/>
      <c r="BF27" s="1730"/>
      <c r="BG27" s="1730"/>
      <c r="BH27" s="1730"/>
      <c r="BI27" s="1730"/>
      <c r="BJ27" s="1730"/>
      <c r="BK27" s="459"/>
      <c r="BL27" s="253"/>
      <c r="BM27" s="253"/>
    </row>
    <row r="28" spans="2:65" ht="18" customHeight="1">
      <c r="B28" s="457"/>
      <c r="C28" s="1730"/>
      <c r="D28" s="1730"/>
      <c r="E28" s="1730"/>
      <c r="F28" s="1730"/>
      <c r="G28" s="1730"/>
      <c r="H28" s="1730"/>
      <c r="I28" s="1730"/>
      <c r="J28" s="1730"/>
      <c r="K28" s="1730"/>
      <c r="L28" s="1730"/>
      <c r="M28" s="1730"/>
      <c r="N28" s="1730"/>
      <c r="O28" s="1730"/>
      <c r="P28" s="1730"/>
      <c r="Q28" s="1730"/>
      <c r="R28" s="1730"/>
      <c r="S28" s="1730"/>
      <c r="T28" s="1730"/>
      <c r="U28" s="1730"/>
      <c r="V28" s="1730"/>
      <c r="W28" s="1730"/>
      <c r="X28" s="1730"/>
      <c r="Y28" s="1730"/>
      <c r="Z28" s="1730"/>
      <c r="AA28" s="1730"/>
      <c r="AB28" s="1730"/>
      <c r="AC28" s="1730"/>
      <c r="AD28" s="1730"/>
      <c r="AE28" s="1730"/>
      <c r="AF28" s="1730"/>
      <c r="AG28" s="1730"/>
      <c r="AH28" s="1730"/>
      <c r="AI28" s="1730"/>
      <c r="AJ28" s="1730"/>
      <c r="AK28" s="1730"/>
      <c r="AL28" s="1730"/>
      <c r="AM28" s="1730"/>
      <c r="AN28" s="1730"/>
      <c r="AO28" s="1730"/>
      <c r="AP28" s="1730"/>
      <c r="AQ28" s="1730"/>
      <c r="AR28" s="1730"/>
      <c r="AS28" s="1730"/>
      <c r="AT28" s="1730"/>
      <c r="AU28" s="1730"/>
      <c r="AV28" s="1730"/>
      <c r="AW28" s="1730"/>
      <c r="AX28" s="1730"/>
      <c r="AY28" s="1730"/>
      <c r="AZ28" s="1730"/>
      <c r="BA28" s="1730"/>
      <c r="BB28" s="1730"/>
      <c r="BC28" s="1730"/>
      <c r="BD28" s="1730"/>
      <c r="BE28" s="1730"/>
      <c r="BF28" s="1730"/>
      <c r="BG28" s="1730"/>
      <c r="BH28" s="1730"/>
      <c r="BI28" s="1730"/>
      <c r="BJ28" s="1730"/>
      <c r="BK28" s="459"/>
      <c r="BL28" s="253"/>
      <c r="BM28" s="253"/>
    </row>
    <row r="29" spans="2:65">
      <c r="B29" s="457"/>
      <c r="C29" s="1730"/>
      <c r="D29" s="1730"/>
      <c r="E29" s="1730"/>
      <c r="F29" s="1730"/>
      <c r="G29" s="1730"/>
      <c r="H29" s="1730"/>
      <c r="I29" s="1730"/>
      <c r="J29" s="1730"/>
      <c r="K29" s="1730"/>
      <c r="L29" s="1730"/>
      <c r="M29" s="1730"/>
      <c r="N29" s="1730"/>
      <c r="O29" s="1730"/>
      <c r="P29" s="1730"/>
      <c r="Q29" s="1730"/>
      <c r="R29" s="1730"/>
      <c r="S29" s="1730"/>
      <c r="T29" s="1730"/>
      <c r="U29" s="1730"/>
      <c r="V29" s="1730"/>
      <c r="W29" s="1730"/>
      <c r="X29" s="1730"/>
      <c r="Y29" s="1730"/>
      <c r="Z29" s="1730"/>
      <c r="AA29" s="1730"/>
      <c r="AB29" s="1730"/>
      <c r="AC29" s="1730"/>
      <c r="AD29" s="1730"/>
      <c r="AE29" s="1730"/>
      <c r="AF29" s="1730"/>
      <c r="AG29" s="1730"/>
      <c r="AH29" s="1730"/>
      <c r="AI29" s="1730"/>
      <c r="AJ29" s="1730"/>
      <c r="AK29" s="1730"/>
      <c r="AL29" s="1730"/>
      <c r="AM29" s="1730"/>
      <c r="AN29" s="1730"/>
      <c r="AO29" s="1730"/>
      <c r="AP29" s="1730"/>
      <c r="AQ29" s="1730"/>
      <c r="AR29" s="1730"/>
      <c r="AS29" s="1730"/>
      <c r="AT29" s="1730"/>
      <c r="AU29" s="1730"/>
      <c r="AV29" s="1730"/>
      <c r="AW29" s="1730"/>
      <c r="AX29" s="1730"/>
      <c r="AY29" s="1730"/>
      <c r="AZ29" s="1730"/>
      <c r="BA29" s="1730"/>
      <c r="BB29" s="1730"/>
      <c r="BC29" s="1730"/>
      <c r="BD29" s="1730"/>
      <c r="BE29" s="1730"/>
      <c r="BF29" s="1730"/>
      <c r="BG29" s="1730"/>
      <c r="BH29" s="1730"/>
      <c r="BI29" s="1730"/>
      <c r="BJ29" s="1730"/>
      <c r="BK29" s="459"/>
      <c r="BL29" s="253"/>
      <c r="BM29" s="253"/>
    </row>
    <row r="30" spans="2:65" ht="13.5" thickBot="1">
      <c r="B30" s="492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5"/>
      <c r="BL30" s="253"/>
      <c r="BM30" s="253"/>
    </row>
    <row r="31" spans="2:65"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253"/>
      <c r="BM31" s="253"/>
    </row>
    <row r="32" spans="2:65"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58"/>
      <c r="BK32" s="458"/>
      <c r="BL32" s="253"/>
      <c r="BM32" s="253"/>
    </row>
    <row r="33" spans="2:65" hidden="1"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58"/>
      <c r="BK33" s="458"/>
      <c r="BL33" s="253"/>
      <c r="BM33" s="253"/>
    </row>
    <row r="34" spans="2:65" hidden="1">
      <c r="B34" s="458"/>
      <c r="C34" s="458"/>
      <c r="D34" s="458"/>
      <c r="E34" s="458" t="s">
        <v>491</v>
      </c>
      <c r="F34" s="458"/>
      <c r="G34" s="458"/>
      <c r="H34" s="458"/>
      <c r="I34" s="458"/>
      <c r="J34" s="458"/>
      <c r="K34" s="458"/>
      <c r="L34" s="458"/>
      <c r="M34" s="458"/>
      <c r="N34" s="458" t="s">
        <v>492</v>
      </c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 t="s">
        <v>493</v>
      </c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58"/>
      <c r="BK34" s="458"/>
      <c r="BL34" s="253"/>
      <c r="BM34" s="253"/>
    </row>
    <row r="35" spans="2:65" hidden="1">
      <c r="B35" s="458"/>
      <c r="C35" s="458"/>
      <c r="D35" s="458"/>
      <c r="E35" s="458" t="s">
        <v>494</v>
      </c>
      <c r="F35" s="458"/>
      <c r="G35" s="458"/>
      <c r="H35" s="458"/>
      <c r="I35" s="458"/>
      <c r="J35" s="458"/>
      <c r="K35" s="458"/>
      <c r="L35" s="458"/>
      <c r="M35" s="458"/>
      <c r="N35" s="458" t="s">
        <v>495</v>
      </c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 t="s">
        <v>496</v>
      </c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58"/>
      <c r="BK35" s="458"/>
      <c r="BL35" s="253"/>
      <c r="BM35" s="253"/>
    </row>
    <row r="36" spans="2:65" hidden="1">
      <c r="B36" s="458"/>
      <c r="C36" s="458"/>
      <c r="D36" s="458"/>
      <c r="E36" s="458" t="s">
        <v>497</v>
      </c>
      <c r="F36" s="458"/>
      <c r="G36" s="458"/>
      <c r="H36" s="458"/>
      <c r="I36" s="458"/>
      <c r="J36" s="458"/>
      <c r="K36" s="458"/>
      <c r="L36" s="458"/>
      <c r="M36" s="458"/>
      <c r="N36" s="458" t="s">
        <v>498</v>
      </c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 t="s">
        <v>497</v>
      </c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58"/>
      <c r="BK36" s="458"/>
      <c r="BL36" s="253"/>
      <c r="BM36" s="253"/>
    </row>
    <row r="37" spans="2:65" hidden="1"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 t="s">
        <v>497</v>
      </c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58"/>
      <c r="BK37" s="458"/>
      <c r="BL37" s="253"/>
      <c r="BM37" s="253"/>
    </row>
    <row r="38" spans="2:65" hidden="1"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58"/>
      <c r="BK38" s="458"/>
      <c r="BL38" s="253"/>
      <c r="BM38" s="253"/>
    </row>
    <row r="39" spans="2:65"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58"/>
      <c r="BK39" s="458"/>
      <c r="BL39" s="253"/>
      <c r="BM39" s="253"/>
    </row>
    <row r="40" spans="2:65" ht="45.75" customHeight="1"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95"/>
      <c r="AX40" s="495"/>
      <c r="AY40" s="495"/>
      <c r="AZ40" s="495"/>
      <c r="BA40" s="495"/>
      <c r="BB40" s="495"/>
      <c r="BC40" s="495"/>
      <c r="BD40" s="495"/>
      <c r="BE40" s="495"/>
      <c r="BF40" s="495"/>
      <c r="BG40" s="495"/>
      <c r="BH40" s="495"/>
      <c r="BI40" s="495"/>
      <c r="BJ40" s="496"/>
      <c r="BK40" s="496"/>
      <c r="BL40" s="99"/>
      <c r="BM40" s="99"/>
    </row>
    <row r="41" spans="2:65" ht="43.5" customHeight="1"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8"/>
      <c r="BK41" s="498"/>
      <c r="BL41" s="499"/>
      <c r="BM41" s="499"/>
    </row>
    <row r="42" spans="2:65" s="504" customFormat="1" ht="6.75" customHeight="1"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1"/>
      <c r="AX42" s="501"/>
      <c r="AY42" s="502" t="s">
        <v>464</v>
      </c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2"/>
      <c r="BK42" s="502"/>
      <c r="BL42" s="503"/>
      <c r="BM42" s="503"/>
    </row>
    <row r="43" spans="2:65" s="508" customFormat="1" ht="12.75" customHeight="1"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6"/>
      <c r="AX43" s="871" t="s">
        <v>499</v>
      </c>
      <c r="AY43" s="507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7"/>
      <c r="BM43" s="507"/>
    </row>
    <row r="44" spans="2:65" s="504" customFormat="1" ht="18.75" customHeight="1"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2"/>
      <c r="AX44" s="502"/>
      <c r="AY44" s="501" t="str">
        <f>DATOS!$G$18</f>
        <v>#</v>
      </c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3"/>
      <c r="BM44" s="503"/>
    </row>
    <row r="45" spans="2:65" s="504" customFormat="1" ht="18.75" customHeight="1"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2"/>
      <c r="AX45" s="503"/>
      <c r="AY45" s="501" t="str">
        <f>DATOS!$G$20</f>
        <v>#</v>
      </c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3"/>
      <c r="BM45" s="503"/>
    </row>
    <row r="46" spans="2:65" s="504" customFormat="1" ht="18.75" customHeight="1"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2"/>
      <c r="AX46" s="502"/>
      <c r="AY46" s="509" t="str">
        <f>DATOS!$G$21</f>
        <v>#</v>
      </c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3"/>
      <c r="BM46" s="503"/>
    </row>
    <row r="47" spans="2:65" s="504" customFormat="1" ht="18.75" customHeight="1"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2"/>
      <c r="AX47" s="502"/>
      <c r="AY47" s="501" t="str">
        <f>DATOS!$G$19</f>
        <v>#</v>
      </c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3"/>
      <c r="BM47" s="503"/>
    </row>
    <row r="48" spans="2:65" s="504" customFormat="1" ht="18.75" customHeight="1">
      <c r="AX48" s="503"/>
      <c r="AY48" s="1726" t="str">
        <f>DATOS!$G$23</f>
        <v>#</v>
      </c>
      <c r="AZ48" s="1726"/>
      <c r="BA48" s="1726"/>
      <c r="BB48" s="1726"/>
      <c r="BC48" s="1726"/>
      <c r="BD48" s="1726"/>
      <c r="BE48" s="1726"/>
      <c r="BF48" s="1726"/>
      <c r="BG48" s="1726"/>
      <c r="BI48" s="501" t="str">
        <f>DATOS!$G$24</f>
        <v>#</v>
      </c>
      <c r="BJ48" s="541"/>
      <c r="BK48" s="541"/>
      <c r="BL48" s="503"/>
      <c r="BM48" s="503"/>
    </row>
    <row r="49" spans="49:65"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</row>
    <row r="50" spans="49:65"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499"/>
      <c r="BM50" s="499"/>
    </row>
  </sheetData>
  <sheetProtection sheet="1" objects="1" scenarios="1"/>
  <mergeCells count="154">
    <mergeCell ref="B2:BK2"/>
    <mergeCell ref="H3:AN3"/>
    <mergeCell ref="AX3:BJ3"/>
    <mergeCell ref="B4:F4"/>
    <mergeCell ref="W4:Y4"/>
    <mergeCell ref="Z4:AB4"/>
    <mergeCell ref="AC4:AO4"/>
    <mergeCell ref="AQ4:AS4"/>
    <mergeCell ref="AW4:BK4"/>
    <mergeCell ref="B6:BK6"/>
    <mergeCell ref="B7:E10"/>
    <mergeCell ref="F7:J10"/>
    <mergeCell ref="K7:S7"/>
    <mergeCell ref="T7:AC7"/>
    <mergeCell ref="AD7:AJ7"/>
    <mergeCell ref="AK7:AQ7"/>
    <mergeCell ref="AR7:AZ7"/>
    <mergeCell ref="BA7:BF8"/>
    <mergeCell ref="BG7:BK9"/>
    <mergeCell ref="BG10:BK10"/>
    <mergeCell ref="K8:S10"/>
    <mergeCell ref="T8:AC10"/>
    <mergeCell ref="AD8:AJ10"/>
    <mergeCell ref="AK8:AN10"/>
    <mergeCell ref="AO8:AQ9"/>
    <mergeCell ref="AR8:AU9"/>
    <mergeCell ref="AV8:AZ9"/>
    <mergeCell ref="BA9:BF10"/>
    <mergeCell ref="AO10:AQ10"/>
    <mergeCell ref="AR10:AU10"/>
    <mergeCell ref="AV10:AZ10"/>
    <mergeCell ref="B12:E12"/>
    <mergeCell ref="F12:J12"/>
    <mergeCell ref="K12:S12"/>
    <mergeCell ref="T12:AC12"/>
    <mergeCell ref="AD12:AJ12"/>
    <mergeCell ref="B11:E11"/>
    <mergeCell ref="F11:J11"/>
    <mergeCell ref="K11:S11"/>
    <mergeCell ref="T11:AC11"/>
    <mergeCell ref="AD11:AJ11"/>
    <mergeCell ref="AD13:AJ13"/>
    <mergeCell ref="BG12:BK12"/>
    <mergeCell ref="AO11:AQ11"/>
    <mergeCell ref="AR11:AU11"/>
    <mergeCell ref="AV11:AZ11"/>
    <mergeCell ref="BA11:BF11"/>
    <mergeCell ref="BG11:BK11"/>
    <mergeCell ref="AK13:AN13"/>
    <mergeCell ref="AK12:AN12"/>
    <mergeCell ref="AO12:AQ12"/>
    <mergeCell ref="AR12:AU12"/>
    <mergeCell ref="AV12:AZ12"/>
    <mergeCell ref="BA12:BF12"/>
    <mergeCell ref="AK11:AN11"/>
    <mergeCell ref="AO13:AQ13"/>
    <mergeCell ref="AR13:AU13"/>
    <mergeCell ref="BG14:BK14"/>
    <mergeCell ref="B14:E14"/>
    <mergeCell ref="F14:J14"/>
    <mergeCell ref="K14:S14"/>
    <mergeCell ref="T14:AC14"/>
    <mergeCell ref="BA13:BF13"/>
    <mergeCell ref="BG13:BK13"/>
    <mergeCell ref="AK15:AN15"/>
    <mergeCell ref="AK14:AN14"/>
    <mergeCell ref="AO14:AQ14"/>
    <mergeCell ref="AR14:AU14"/>
    <mergeCell ref="AV14:AZ14"/>
    <mergeCell ref="BA14:BF14"/>
    <mergeCell ref="BA15:BF15"/>
    <mergeCell ref="AD14:AJ14"/>
    <mergeCell ref="B13:E13"/>
    <mergeCell ref="F13:J13"/>
    <mergeCell ref="AO15:AQ15"/>
    <mergeCell ref="AR15:AU15"/>
    <mergeCell ref="AV15:AZ15"/>
    <mergeCell ref="AV13:AZ13"/>
    <mergeCell ref="B15:E15"/>
    <mergeCell ref="K13:S13"/>
    <mergeCell ref="T13:AC13"/>
    <mergeCell ref="F15:J15"/>
    <mergeCell ref="K15:S15"/>
    <mergeCell ref="BG15:BK15"/>
    <mergeCell ref="AK17:AN17"/>
    <mergeCell ref="AK16:AN16"/>
    <mergeCell ref="AO16:AQ16"/>
    <mergeCell ref="AR16:AU16"/>
    <mergeCell ref="AV16:AZ16"/>
    <mergeCell ref="BA16:BF16"/>
    <mergeCell ref="BG16:BK16"/>
    <mergeCell ref="T15:AC15"/>
    <mergeCell ref="AD15:AJ15"/>
    <mergeCell ref="K18:S18"/>
    <mergeCell ref="T18:AC18"/>
    <mergeCell ref="AD18:AJ18"/>
    <mergeCell ref="B17:E17"/>
    <mergeCell ref="F17:J17"/>
    <mergeCell ref="K17:S17"/>
    <mergeCell ref="T17:AC17"/>
    <mergeCell ref="AD17:AJ17"/>
    <mergeCell ref="B16:E16"/>
    <mergeCell ref="F16:J16"/>
    <mergeCell ref="K16:S16"/>
    <mergeCell ref="T16:AC16"/>
    <mergeCell ref="AD16:AJ16"/>
    <mergeCell ref="B19:E19"/>
    <mergeCell ref="F19:J19"/>
    <mergeCell ref="K19:S19"/>
    <mergeCell ref="T19:AC19"/>
    <mergeCell ref="AD19:AJ19"/>
    <mergeCell ref="BG18:BK18"/>
    <mergeCell ref="AO17:AQ17"/>
    <mergeCell ref="AR17:AU17"/>
    <mergeCell ref="AV17:AZ17"/>
    <mergeCell ref="BA17:BF17"/>
    <mergeCell ref="BG17:BK17"/>
    <mergeCell ref="AK19:AN19"/>
    <mergeCell ref="AK18:AN18"/>
    <mergeCell ref="AO18:AQ18"/>
    <mergeCell ref="AR18:AU18"/>
    <mergeCell ref="AV18:AZ18"/>
    <mergeCell ref="BA18:BF18"/>
    <mergeCell ref="AO19:AQ19"/>
    <mergeCell ref="AR19:AU19"/>
    <mergeCell ref="AV19:AZ19"/>
    <mergeCell ref="BA19:BF19"/>
    <mergeCell ref="BG19:BK19"/>
    <mergeCell ref="B18:E18"/>
    <mergeCell ref="F18:J18"/>
    <mergeCell ref="AY48:BG48"/>
    <mergeCell ref="BA21:BF21"/>
    <mergeCell ref="BG21:BK21"/>
    <mergeCell ref="C23:BJ29"/>
    <mergeCell ref="B21:E21"/>
    <mergeCell ref="F21:J21"/>
    <mergeCell ref="AR20:AU20"/>
    <mergeCell ref="BA20:BF20"/>
    <mergeCell ref="BG20:BK20"/>
    <mergeCell ref="K21:S21"/>
    <mergeCell ref="T21:AC21"/>
    <mergeCell ref="AD21:AJ21"/>
    <mergeCell ref="AK21:AN21"/>
    <mergeCell ref="AK20:AN20"/>
    <mergeCell ref="AO20:AQ20"/>
    <mergeCell ref="AO21:AQ21"/>
    <mergeCell ref="AR21:AU21"/>
    <mergeCell ref="AV21:AZ21"/>
    <mergeCell ref="B20:E20"/>
    <mergeCell ref="F20:J20"/>
    <mergeCell ref="K20:S20"/>
    <mergeCell ref="T20:AC20"/>
    <mergeCell ref="AD20:AJ20"/>
    <mergeCell ref="AV20:AZ20"/>
  </mergeCells>
  <pageMargins left="0" right="0" top="1.1417322834645669" bottom="0.15748031496062992" header="0.31496062992125984" footer="0.31496062992125984"/>
  <pageSetup paperSize="9" scale="5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BR52"/>
  <sheetViews>
    <sheetView topLeftCell="A10" zoomScale="70" zoomScaleNormal="70" workbookViewId="0">
      <selection activeCell="AH8" sqref="AH8:BK40"/>
    </sheetView>
  </sheetViews>
  <sheetFormatPr baseColWidth="10" defaultColWidth="9.140625" defaultRowHeight="12.75"/>
  <cols>
    <col min="1" max="1" width="2" customWidth="1"/>
    <col min="2" max="5" width="2.140625" customWidth="1"/>
    <col min="6" max="6" width="6.7109375" customWidth="1"/>
    <col min="7" max="21" width="3.7109375" customWidth="1"/>
    <col min="22" max="23" width="4.28515625" customWidth="1"/>
    <col min="24" max="24" width="1.7109375" customWidth="1"/>
    <col min="25" max="25" width="2.85546875" customWidth="1"/>
    <col min="26" max="29" width="4.28515625" customWidth="1"/>
    <col min="30" max="36" width="2.140625" customWidth="1"/>
    <col min="37" max="43" width="4.85546875" customWidth="1"/>
    <col min="44" max="45" width="1.7109375" customWidth="1"/>
    <col min="46" max="52" width="4.85546875" customWidth="1"/>
    <col min="53" max="55" width="3.5703125" customWidth="1"/>
    <col min="56" max="62" width="2.7109375" customWidth="1"/>
    <col min="63" max="63" width="3.7109375" customWidth="1"/>
    <col min="64" max="69" width="3.5703125" customWidth="1"/>
    <col min="70" max="256" width="11.42578125" customWidth="1"/>
  </cols>
  <sheetData>
    <row r="1" spans="2:70" ht="13.5" thickBot="1"/>
    <row r="2" spans="2:70" ht="36.75" customHeight="1">
      <c r="B2" s="1824" t="str">
        <f>PROTOCOLO!$A$1</f>
        <v>PROTOCOLO DE MEDICION DE LA PUESTA A TIERRA Y CONTINUIDAD DE LAS MASAS</v>
      </c>
      <c r="C2" s="1825"/>
      <c r="D2" s="1825"/>
      <c r="E2" s="1825"/>
      <c r="F2" s="1825"/>
      <c r="G2" s="1825"/>
      <c r="H2" s="1825"/>
      <c r="I2" s="1825"/>
      <c r="J2" s="1825"/>
      <c r="K2" s="1825"/>
      <c r="L2" s="1825"/>
      <c r="M2" s="1825"/>
      <c r="N2" s="1825"/>
      <c r="O2" s="1825"/>
      <c r="P2" s="1825"/>
      <c r="Q2" s="1825"/>
      <c r="R2" s="1825"/>
      <c r="S2" s="1825"/>
      <c r="T2" s="1825"/>
      <c r="U2" s="1825"/>
      <c r="V2" s="1825"/>
      <c r="W2" s="1825"/>
      <c r="X2" s="1825"/>
      <c r="Y2" s="1825"/>
      <c r="Z2" s="1825"/>
      <c r="AA2" s="1825"/>
      <c r="AB2" s="1825"/>
      <c r="AC2" s="1825"/>
      <c r="AD2" s="1825"/>
      <c r="AE2" s="1825"/>
      <c r="AF2" s="1825"/>
      <c r="AG2" s="1825"/>
      <c r="AH2" s="1825"/>
      <c r="AI2" s="1825"/>
      <c r="AJ2" s="1825"/>
      <c r="AK2" s="1825"/>
      <c r="AL2" s="1825"/>
      <c r="AM2" s="1825"/>
      <c r="AN2" s="1825"/>
      <c r="AO2" s="1825"/>
      <c r="AP2" s="1825"/>
      <c r="AQ2" s="1825"/>
      <c r="AR2" s="1825"/>
      <c r="AS2" s="1825"/>
      <c r="AT2" s="1825"/>
      <c r="AU2" s="1825"/>
      <c r="AV2" s="1825"/>
      <c r="AW2" s="1825"/>
      <c r="AX2" s="1825"/>
      <c r="AY2" s="1825"/>
      <c r="AZ2" s="1825"/>
      <c r="BA2" s="1825"/>
      <c r="BB2" s="1825"/>
      <c r="BC2" s="1825"/>
      <c r="BD2" s="1825"/>
      <c r="BE2" s="1825"/>
      <c r="BF2" s="1825"/>
      <c r="BG2" s="1825"/>
      <c r="BH2" s="1825"/>
      <c r="BI2" s="1825"/>
      <c r="BJ2" s="1825"/>
      <c r="BK2" s="1826"/>
    </row>
    <row r="3" spans="2:70" s="484" customFormat="1" ht="19.5" customHeight="1">
      <c r="B3" s="510" t="s">
        <v>469</v>
      </c>
      <c r="C3" s="511"/>
      <c r="D3" s="511"/>
      <c r="E3" s="511"/>
      <c r="F3" s="511"/>
      <c r="G3" s="1827" t="str">
        <f>DATOS!$G$7</f>
        <v>#</v>
      </c>
      <c r="H3" s="1827"/>
      <c r="I3" s="1827"/>
      <c r="J3" s="1827"/>
      <c r="K3" s="1827"/>
      <c r="L3" s="1827"/>
      <c r="M3" s="1827"/>
      <c r="N3" s="1827"/>
      <c r="O3" s="1827"/>
      <c r="P3" s="1827"/>
      <c r="Q3" s="1827"/>
      <c r="R3" s="1827"/>
      <c r="S3" s="1827"/>
      <c r="T3" s="1827"/>
      <c r="U3" s="1827"/>
      <c r="V3" s="1827"/>
      <c r="W3" s="1827"/>
      <c r="X3" s="1827"/>
      <c r="Y3" s="1827"/>
      <c r="Z3" s="1827"/>
      <c r="AA3" s="1827"/>
      <c r="AB3" s="1827"/>
      <c r="AC3" s="1827"/>
      <c r="AD3" s="1827"/>
      <c r="AE3" s="1827"/>
      <c r="AF3" s="1827"/>
      <c r="AG3" s="1827"/>
      <c r="AH3" s="1827"/>
      <c r="AI3" s="1827"/>
      <c r="AJ3" s="1827"/>
      <c r="AK3" s="1827"/>
      <c r="AL3" s="1827"/>
      <c r="AM3" s="1827"/>
      <c r="AN3" s="1827"/>
      <c r="AO3" s="1827"/>
      <c r="AP3" s="1827"/>
      <c r="AQ3" s="1827"/>
      <c r="AR3" s="511"/>
      <c r="AS3" s="511"/>
      <c r="AT3" s="511"/>
      <c r="AU3" s="512"/>
      <c r="AV3" s="513" t="s">
        <v>298</v>
      </c>
      <c r="AW3" s="511"/>
      <c r="AX3" s="1827" t="str">
        <f>DATOS!$G$8</f>
        <v>#</v>
      </c>
      <c r="AY3" s="1827"/>
      <c r="AZ3" s="1827"/>
      <c r="BA3" s="1827"/>
      <c r="BB3" s="1827"/>
      <c r="BC3" s="1827"/>
      <c r="BD3" s="1827"/>
      <c r="BE3" s="1827"/>
      <c r="BF3" s="1827"/>
      <c r="BG3" s="1827"/>
      <c r="BH3" s="1827"/>
      <c r="BI3" s="1827"/>
      <c r="BJ3" s="1827"/>
      <c r="BK3" s="514"/>
      <c r="BL3" s="483"/>
      <c r="BM3" s="483"/>
      <c r="BN3" s="483"/>
    </row>
    <row r="4" spans="2:70" s="484" customFormat="1" ht="19.5" customHeight="1" thickBot="1">
      <c r="B4" s="1828" t="s">
        <v>450</v>
      </c>
      <c r="C4" s="1829"/>
      <c r="D4" s="1829"/>
      <c r="E4" s="1829"/>
      <c r="F4" s="1829"/>
      <c r="G4" s="515" t="str">
        <f>DATOS!$G$27</f>
        <v>#</v>
      </c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 t="s">
        <v>378</v>
      </c>
      <c r="W4" s="1830" t="str">
        <f>DATOS!$G$28</f>
        <v>#</v>
      </c>
      <c r="X4" s="1830"/>
      <c r="Y4" s="1830"/>
      <c r="Z4" s="1831" t="s">
        <v>448</v>
      </c>
      <c r="AA4" s="1829"/>
      <c r="AB4" s="1829"/>
      <c r="AC4" s="1830" t="str">
        <f>DATOS!$G$29</f>
        <v>#</v>
      </c>
      <c r="AD4" s="1830"/>
      <c r="AE4" s="1830"/>
      <c r="AF4" s="1830"/>
      <c r="AG4" s="1830"/>
      <c r="AH4" s="1830"/>
      <c r="AI4" s="1830"/>
      <c r="AJ4" s="1830"/>
      <c r="AK4" s="1830"/>
      <c r="AL4" s="1830"/>
      <c r="AM4" s="1830"/>
      <c r="AN4" s="1830"/>
      <c r="AO4" s="1830"/>
      <c r="AP4" s="516" t="s">
        <v>381</v>
      </c>
      <c r="AQ4" s="1830" t="str">
        <f>DATOS!$G$30</f>
        <v>#</v>
      </c>
      <c r="AR4" s="1830"/>
      <c r="AS4" s="1830"/>
      <c r="AT4" s="517" t="s">
        <v>452</v>
      </c>
      <c r="AU4" s="518"/>
      <c r="AV4" s="519"/>
      <c r="AW4" s="1832" t="s">
        <v>341</v>
      </c>
      <c r="AX4" s="1832"/>
      <c r="AY4" s="1832"/>
      <c r="AZ4" s="1832"/>
      <c r="BA4" s="1832"/>
      <c r="BB4" s="1832"/>
      <c r="BC4" s="1832"/>
      <c r="BD4" s="1832"/>
      <c r="BE4" s="1832"/>
      <c r="BF4" s="1832"/>
      <c r="BG4" s="1832"/>
      <c r="BH4" s="1832"/>
      <c r="BI4" s="1832"/>
      <c r="BJ4" s="1832"/>
      <c r="BK4" s="1833"/>
      <c r="BL4" s="488"/>
    </row>
    <row r="5" spans="2:70" ht="6.75" customHeight="1" thickBot="1">
      <c r="B5" s="253"/>
      <c r="C5" s="253"/>
      <c r="D5" s="253"/>
      <c r="E5" s="253"/>
      <c r="F5" s="253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96"/>
      <c r="Y5" s="96"/>
      <c r="Z5" s="453"/>
      <c r="AA5" s="453"/>
      <c r="AB5" s="453"/>
      <c r="AC5" s="453"/>
      <c r="AD5" s="453"/>
      <c r="AE5" s="253"/>
      <c r="AF5" s="253"/>
      <c r="AG5" s="253"/>
      <c r="AH5" s="253"/>
      <c r="AI5" s="2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253"/>
      <c r="AX5" s="253"/>
      <c r="AY5" s="253"/>
      <c r="AZ5" s="253"/>
      <c r="BA5" s="453"/>
      <c r="BB5" s="453"/>
      <c r="BC5" s="453"/>
      <c r="BD5" s="453"/>
      <c r="BE5" s="453"/>
      <c r="BF5" s="453"/>
      <c r="BG5" s="253"/>
      <c r="BH5" s="253"/>
      <c r="BI5" s="253"/>
      <c r="BJ5" s="253"/>
      <c r="BK5" s="253"/>
    </row>
    <row r="6" spans="2:70" ht="32.25" customHeight="1">
      <c r="B6" s="1805" t="s">
        <v>500</v>
      </c>
      <c r="C6" s="1806"/>
      <c r="D6" s="1806"/>
      <c r="E6" s="1806"/>
      <c r="F6" s="1806"/>
      <c r="G6" s="1806"/>
      <c r="H6" s="1806"/>
      <c r="I6" s="1806"/>
      <c r="J6" s="1806"/>
      <c r="K6" s="1806"/>
      <c r="L6" s="1806"/>
      <c r="M6" s="1806"/>
      <c r="N6" s="1806"/>
      <c r="O6" s="1806"/>
      <c r="P6" s="1806"/>
      <c r="Q6" s="1806"/>
      <c r="R6" s="1806"/>
      <c r="S6" s="1806"/>
      <c r="T6" s="1806"/>
      <c r="U6" s="1806"/>
      <c r="V6" s="1806"/>
      <c r="W6" s="1806"/>
      <c r="X6" s="1806"/>
      <c r="Y6" s="1806"/>
      <c r="Z6" s="1806"/>
      <c r="AA6" s="1806"/>
      <c r="AB6" s="1806"/>
      <c r="AC6" s="1806"/>
      <c r="AD6" s="1806"/>
      <c r="AE6" s="1806"/>
      <c r="AF6" s="1806"/>
      <c r="AG6" s="1806"/>
      <c r="AH6" s="1806"/>
      <c r="AI6" s="1806"/>
      <c r="AJ6" s="1806"/>
      <c r="AK6" s="1806"/>
      <c r="AL6" s="1806"/>
      <c r="AM6" s="1806"/>
      <c r="AN6" s="1806"/>
      <c r="AO6" s="1806"/>
      <c r="AP6" s="1806"/>
      <c r="AQ6" s="1806"/>
      <c r="AR6" s="1806"/>
      <c r="AS6" s="1806"/>
      <c r="AT6" s="1806"/>
      <c r="AU6" s="1806"/>
      <c r="AV6" s="1806"/>
      <c r="AW6" s="1806"/>
      <c r="AX6" s="1806"/>
      <c r="AY6" s="1806"/>
      <c r="AZ6" s="1806"/>
      <c r="BA6" s="1806"/>
      <c r="BB6" s="1806"/>
      <c r="BC6" s="1806"/>
      <c r="BD6" s="1806"/>
      <c r="BE6" s="1806"/>
      <c r="BF6" s="1806"/>
      <c r="BG6" s="1806"/>
      <c r="BH6" s="1806"/>
      <c r="BI6" s="1806"/>
      <c r="BJ6" s="1806"/>
      <c r="BK6" s="1807"/>
    </row>
    <row r="7" spans="2:70" ht="30" customHeight="1">
      <c r="B7" s="1808" t="s">
        <v>501</v>
      </c>
      <c r="C7" s="1809"/>
      <c r="D7" s="1809"/>
      <c r="E7" s="1809"/>
      <c r="F7" s="1809"/>
      <c r="G7" s="1809"/>
      <c r="H7" s="1809"/>
      <c r="I7" s="1809"/>
      <c r="J7" s="1809"/>
      <c r="K7" s="1809"/>
      <c r="L7" s="1809"/>
      <c r="M7" s="1809"/>
      <c r="N7" s="1809"/>
      <c r="O7" s="1809"/>
      <c r="P7" s="1809"/>
      <c r="Q7" s="1809"/>
      <c r="R7" s="1809"/>
      <c r="S7" s="1809"/>
      <c r="T7" s="1809"/>
      <c r="U7" s="1809"/>
      <c r="V7" s="1809"/>
      <c r="W7" s="1809"/>
      <c r="X7" s="1809"/>
      <c r="Y7" s="1809"/>
      <c r="Z7" s="1809"/>
      <c r="AA7" s="1809"/>
      <c r="AB7" s="1809"/>
      <c r="AC7" s="1809"/>
      <c r="AD7" s="1809"/>
      <c r="AE7" s="1809"/>
      <c r="AF7" s="1809"/>
      <c r="AG7" s="1809"/>
      <c r="AH7" s="1810" t="s">
        <v>502</v>
      </c>
      <c r="AI7" s="1809"/>
      <c r="AJ7" s="1809"/>
      <c r="AK7" s="1809"/>
      <c r="AL7" s="1809"/>
      <c r="AM7" s="1809"/>
      <c r="AN7" s="1809"/>
      <c r="AO7" s="1809"/>
      <c r="AP7" s="1809"/>
      <c r="AQ7" s="1809"/>
      <c r="AR7" s="1809"/>
      <c r="AS7" s="1809"/>
      <c r="AT7" s="1809"/>
      <c r="AU7" s="1809"/>
      <c r="AV7" s="1809"/>
      <c r="AW7" s="1809"/>
      <c r="AX7" s="1809"/>
      <c r="AY7" s="1809"/>
      <c r="AZ7" s="1809"/>
      <c r="BA7" s="1809"/>
      <c r="BB7" s="1809"/>
      <c r="BC7" s="1809"/>
      <c r="BD7" s="1809"/>
      <c r="BE7" s="1809"/>
      <c r="BF7" s="1809"/>
      <c r="BG7" s="1809"/>
      <c r="BH7" s="1809"/>
      <c r="BI7" s="1809"/>
      <c r="BJ7" s="1809"/>
      <c r="BK7" s="1811"/>
      <c r="BL7" s="253"/>
      <c r="BM7" s="253"/>
      <c r="BN7" s="491"/>
      <c r="BO7" s="253"/>
      <c r="BP7" s="253"/>
      <c r="BQ7" s="253"/>
      <c r="BR7" s="253"/>
    </row>
    <row r="8" spans="2:70" ht="30" customHeight="1">
      <c r="B8" s="1812"/>
      <c r="C8" s="1813"/>
      <c r="D8" s="1813"/>
      <c r="E8" s="1813"/>
      <c r="F8" s="1813"/>
      <c r="G8" s="1813"/>
      <c r="H8" s="1813"/>
      <c r="I8" s="1813"/>
      <c r="J8" s="1813"/>
      <c r="K8" s="1813"/>
      <c r="L8" s="1813"/>
      <c r="M8" s="1813"/>
      <c r="N8" s="1813"/>
      <c r="O8" s="1813"/>
      <c r="P8" s="1813"/>
      <c r="Q8" s="1813"/>
      <c r="R8" s="1813"/>
      <c r="S8" s="1813"/>
      <c r="T8" s="1813"/>
      <c r="U8" s="1813"/>
      <c r="V8" s="1813"/>
      <c r="W8" s="1813"/>
      <c r="X8" s="1813"/>
      <c r="Y8" s="1813"/>
      <c r="Z8" s="1813"/>
      <c r="AA8" s="1813"/>
      <c r="AB8" s="1813"/>
      <c r="AC8" s="1813"/>
      <c r="AD8" s="1813"/>
      <c r="AE8" s="1813"/>
      <c r="AF8" s="1813"/>
      <c r="AG8" s="1814"/>
      <c r="AH8" s="1812"/>
      <c r="AI8" s="1813"/>
      <c r="AJ8" s="1813"/>
      <c r="AK8" s="1813"/>
      <c r="AL8" s="1813"/>
      <c r="AM8" s="1813"/>
      <c r="AN8" s="1813"/>
      <c r="AO8" s="1813"/>
      <c r="AP8" s="1813"/>
      <c r="AQ8" s="1813"/>
      <c r="AR8" s="1813"/>
      <c r="AS8" s="1813"/>
      <c r="AT8" s="1813"/>
      <c r="AU8" s="1813"/>
      <c r="AV8" s="1813"/>
      <c r="AW8" s="1813"/>
      <c r="AX8" s="1813"/>
      <c r="AY8" s="1813"/>
      <c r="AZ8" s="1813"/>
      <c r="BA8" s="1813"/>
      <c r="BB8" s="1813"/>
      <c r="BC8" s="1813"/>
      <c r="BD8" s="1813"/>
      <c r="BE8" s="1813"/>
      <c r="BF8" s="1813"/>
      <c r="BG8" s="1813"/>
      <c r="BH8" s="1813"/>
      <c r="BI8" s="1813"/>
      <c r="BJ8" s="1813"/>
      <c r="BK8" s="1821"/>
      <c r="BL8" s="253"/>
      <c r="BM8" s="253"/>
      <c r="BN8" s="253"/>
      <c r="BO8" s="253"/>
      <c r="BP8" s="253"/>
      <c r="BQ8" s="253"/>
      <c r="BR8" s="253"/>
    </row>
    <row r="9" spans="2:70" ht="30" customHeight="1">
      <c r="B9" s="1815"/>
      <c r="C9" s="1816"/>
      <c r="D9" s="1816"/>
      <c r="E9" s="1816"/>
      <c r="F9" s="1816"/>
      <c r="G9" s="1816"/>
      <c r="H9" s="1816"/>
      <c r="I9" s="1816"/>
      <c r="J9" s="1816"/>
      <c r="K9" s="1816"/>
      <c r="L9" s="1816"/>
      <c r="M9" s="1816"/>
      <c r="N9" s="1816"/>
      <c r="O9" s="1816"/>
      <c r="P9" s="1816"/>
      <c r="Q9" s="1816"/>
      <c r="R9" s="1816"/>
      <c r="S9" s="1816"/>
      <c r="T9" s="1816"/>
      <c r="U9" s="1816"/>
      <c r="V9" s="1816"/>
      <c r="W9" s="1816"/>
      <c r="X9" s="1816"/>
      <c r="Y9" s="1816"/>
      <c r="Z9" s="1816"/>
      <c r="AA9" s="1816"/>
      <c r="AB9" s="1816"/>
      <c r="AC9" s="1816"/>
      <c r="AD9" s="1816"/>
      <c r="AE9" s="1816"/>
      <c r="AF9" s="1816"/>
      <c r="AG9" s="1817"/>
      <c r="AH9" s="1815"/>
      <c r="AI9" s="1816"/>
      <c r="AJ9" s="1816"/>
      <c r="AK9" s="1816"/>
      <c r="AL9" s="1816"/>
      <c r="AM9" s="1816"/>
      <c r="AN9" s="1816"/>
      <c r="AO9" s="1816"/>
      <c r="AP9" s="1816"/>
      <c r="AQ9" s="1816"/>
      <c r="AR9" s="1816"/>
      <c r="AS9" s="1816"/>
      <c r="AT9" s="1816"/>
      <c r="AU9" s="1816"/>
      <c r="AV9" s="1816"/>
      <c r="AW9" s="1816"/>
      <c r="AX9" s="1816"/>
      <c r="AY9" s="1816"/>
      <c r="AZ9" s="1816"/>
      <c r="BA9" s="1816"/>
      <c r="BB9" s="1816"/>
      <c r="BC9" s="1816"/>
      <c r="BD9" s="1816"/>
      <c r="BE9" s="1816"/>
      <c r="BF9" s="1816"/>
      <c r="BG9" s="1816"/>
      <c r="BH9" s="1816"/>
      <c r="BI9" s="1816"/>
      <c r="BJ9" s="1816"/>
      <c r="BK9" s="1822"/>
      <c r="BL9" s="253"/>
      <c r="BM9" s="253"/>
      <c r="BN9" s="253"/>
      <c r="BO9" s="253"/>
      <c r="BP9" s="253"/>
      <c r="BQ9" s="253"/>
      <c r="BR9" s="253"/>
    </row>
    <row r="10" spans="2:70" ht="30" customHeight="1">
      <c r="B10" s="1815"/>
      <c r="C10" s="1816"/>
      <c r="D10" s="1816"/>
      <c r="E10" s="1816"/>
      <c r="F10" s="1816"/>
      <c r="G10" s="1816"/>
      <c r="H10" s="1816"/>
      <c r="I10" s="1816"/>
      <c r="J10" s="1816"/>
      <c r="K10" s="1816"/>
      <c r="L10" s="1816"/>
      <c r="M10" s="1816"/>
      <c r="N10" s="1816"/>
      <c r="O10" s="1816"/>
      <c r="P10" s="1816"/>
      <c r="Q10" s="1816"/>
      <c r="R10" s="1816"/>
      <c r="S10" s="1816"/>
      <c r="T10" s="1816"/>
      <c r="U10" s="1816"/>
      <c r="V10" s="1816"/>
      <c r="W10" s="1816"/>
      <c r="X10" s="1816"/>
      <c r="Y10" s="1816"/>
      <c r="Z10" s="1816"/>
      <c r="AA10" s="1816"/>
      <c r="AB10" s="1816"/>
      <c r="AC10" s="1816"/>
      <c r="AD10" s="1816"/>
      <c r="AE10" s="1816"/>
      <c r="AF10" s="1816"/>
      <c r="AG10" s="1817"/>
      <c r="AH10" s="1815"/>
      <c r="AI10" s="1816"/>
      <c r="AJ10" s="1816"/>
      <c r="AK10" s="1816"/>
      <c r="AL10" s="1816"/>
      <c r="AM10" s="1816"/>
      <c r="AN10" s="1816"/>
      <c r="AO10" s="1816"/>
      <c r="AP10" s="1816"/>
      <c r="AQ10" s="1816"/>
      <c r="AR10" s="1816"/>
      <c r="AS10" s="1816"/>
      <c r="AT10" s="1816"/>
      <c r="AU10" s="1816"/>
      <c r="AV10" s="1816"/>
      <c r="AW10" s="1816"/>
      <c r="AX10" s="1816"/>
      <c r="AY10" s="1816"/>
      <c r="AZ10" s="1816"/>
      <c r="BA10" s="1816"/>
      <c r="BB10" s="1816"/>
      <c r="BC10" s="1816"/>
      <c r="BD10" s="1816"/>
      <c r="BE10" s="1816"/>
      <c r="BF10" s="1816"/>
      <c r="BG10" s="1816"/>
      <c r="BH10" s="1816"/>
      <c r="BI10" s="1816"/>
      <c r="BJ10" s="1816"/>
      <c r="BK10" s="1822"/>
      <c r="BL10" s="253"/>
      <c r="BM10" s="253"/>
      <c r="BN10" s="253"/>
      <c r="BO10" s="253"/>
      <c r="BP10" s="253"/>
      <c r="BQ10" s="253"/>
      <c r="BR10" s="253"/>
    </row>
    <row r="11" spans="2:70" ht="18" customHeight="1">
      <c r="B11" s="1815"/>
      <c r="C11" s="1816"/>
      <c r="D11" s="1816"/>
      <c r="E11" s="1816"/>
      <c r="F11" s="1816"/>
      <c r="G11" s="1816"/>
      <c r="H11" s="1816"/>
      <c r="I11" s="1816"/>
      <c r="J11" s="1816"/>
      <c r="K11" s="1816"/>
      <c r="L11" s="1816"/>
      <c r="M11" s="1816"/>
      <c r="N11" s="1816"/>
      <c r="O11" s="1816"/>
      <c r="P11" s="1816"/>
      <c r="Q11" s="1816"/>
      <c r="R11" s="1816"/>
      <c r="S11" s="1816"/>
      <c r="T11" s="1816"/>
      <c r="U11" s="1816"/>
      <c r="V11" s="1816"/>
      <c r="W11" s="1816"/>
      <c r="X11" s="1816"/>
      <c r="Y11" s="1816"/>
      <c r="Z11" s="1816"/>
      <c r="AA11" s="1816"/>
      <c r="AB11" s="1816"/>
      <c r="AC11" s="1816"/>
      <c r="AD11" s="1816"/>
      <c r="AE11" s="1816"/>
      <c r="AF11" s="1816"/>
      <c r="AG11" s="1817"/>
      <c r="AH11" s="1815"/>
      <c r="AI11" s="1816"/>
      <c r="AJ11" s="1816"/>
      <c r="AK11" s="1816"/>
      <c r="AL11" s="1816"/>
      <c r="AM11" s="1816"/>
      <c r="AN11" s="1816"/>
      <c r="AO11" s="1816"/>
      <c r="AP11" s="1816"/>
      <c r="AQ11" s="1816"/>
      <c r="AR11" s="1816"/>
      <c r="AS11" s="1816"/>
      <c r="AT11" s="1816"/>
      <c r="AU11" s="1816"/>
      <c r="AV11" s="1816"/>
      <c r="AW11" s="1816"/>
      <c r="AX11" s="1816"/>
      <c r="AY11" s="1816"/>
      <c r="AZ11" s="1816"/>
      <c r="BA11" s="1816"/>
      <c r="BB11" s="1816"/>
      <c r="BC11" s="1816"/>
      <c r="BD11" s="1816"/>
      <c r="BE11" s="1816"/>
      <c r="BF11" s="1816"/>
      <c r="BG11" s="1816"/>
      <c r="BH11" s="1816"/>
      <c r="BI11" s="1816"/>
      <c r="BJ11" s="1816"/>
      <c r="BK11" s="1822"/>
      <c r="BL11" s="253"/>
      <c r="BM11" s="253"/>
      <c r="BN11" s="253"/>
      <c r="BO11" s="253"/>
      <c r="BP11" s="253"/>
      <c r="BQ11" s="253"/>
      <c r="BR11" s="253"/>
    </row>
    <row r="12" spans="2:70" ht="18" customHeight="1">
      <c r="B12" s="1815"/>
      <c r="C12" s="1816"/>
      <c r="D12" s="1816"/>
      <c r="E12" s="1816"/>
      <c r="F12" s="1816"/>
      <c r="G12" s="1816"/>
      <c r="H12" s="1816"/>
      <c r="I12" s="1816"/>
      <c r="J12" s="1816"/>
      <c r="K12" s="1816"/>
      <c r="L12" s="1816"/>
      <c r="M12" s="1816"/>
      <c r="N12" s="1816"/>
      <c r="O12" s="1816"/>
      <c r="P12" s="1816"/>
      <c r="Q12" s="1816"/>
      <c r="R12" s="1816"/>
      <c r="S12" s="1816"/>
      <c r="T12" s="1816"/>
      <c r="U12" s="1816"/>
      <c r="V12" s="1816"/>
      <c r="W12" s="1816"/>
      <c r="X12" s="1816"/>
      <c r="Y12" s="1816"/>
      <c r="Z12" s="1816"/>
      <c r="AA12" s="1816"/>
      <c r="AB12" s="1816"/>
      <c r="AC12" s="1816"/>
      <c r="AD12" s="1816"/>
      <c r="AE12" s="1816"/>
      <c r="AF12" s="1816"/>
      <c r="AG12" s="1817"/>
      <c r="AH12" s="1815"/>
      <c r="AI12" s="1816"/>
      <c r="AJ12" s="1816"/>
      <c r="AK12" s="1816"/>
      <c r="AL12" s="1816"/>
      <c r="AM12" s="1816"/>
      <c r="AN12" s="1816"/>
      <c r="AO12" s="1816"/>
      <c r="AP12" s="1816"/>
      <c r="AQ12" s="1816"/>
      <c r="AR12" s="1816"/>
      <c r="AS12" s="1816"/>
      <c r="AT12" s="1816"/>
      <c r="AU12" s="1816"/>
      <c r="AV12" s="1816"/>
      <c r="AW12" s="1816"/>
      <c r="AX12" s="1816"/>
      <c r="AY12" s="1816"/>
      <c r="AZ12" s="1816"/>
      <c r="BA12" s="1816"/>
      <c r="BB12" s="1816"/>
      <c r="BC12" s="1816"/>
      <c r="BD12" s="1816"/>
      <c r="BE12" s="1816"/>
      <c r="BF12" s="1816"/>
      <c r="BG12" s="1816"/>
      <c r="BH12" s="1816"/>
      <c r="BI12" s="1816"/>
      <c r="BJ12" s="1816"/>
      <c r="BK12" s="1822"/>
      <c r="BL12" s="253"/>
      <c r="BM12" s="253"/>
      <c r="BN12" s="253"/>
      <c r="BO12" s="253"/>
      <c r="BP12" s="253"/>
      <c r="BQ12" s="253"/>
      <c r="BR12" s="253"/>
    </row>
    <row r="13" spans="2:70" ht="18" customHeight="1">
      <c r="B13" s="1815"/>
      <c r="C13" s="1816"/>
      <c r="D13" s="1816"/>
      <c r="E13" s="1816"/>
      <c r="F13" s="1816"/>
      <c r="G13" s="1816"/>
      <c r="H13" s="1816"/>
      <c r="I13" s="1816"/>
      <c r="J13" s="1816"/>
      <c r="K13" s="1816"/>
      <c r="L13" s="1816"/>
      <c r="M13" s="1816"/>
      <c r="N13" s="1816"/>
      <c r="O13" s="1816"/>
      <c r="P13" s="1816"/>
      <c r="Q13" s="1816"/>
      <c r="R13" s="1816"/>
      <c r="S13" s="1816"/>
      <c r="T13" s="1816"/>
      <c r="U13" s="1816"/>
      <c r="V13" s="1816"/>
      <c r="W13" s="1816"/>
      <c r="X13" s="1816"/>
      <c r="Y13" s="1816"/>
      <c r="Z13" s="1816"/>
      <c r="AA13" s="1816"/>
      <c r="AB13" s="1816"/>
      <c r="AC13" s="1816"/>
      <c r="AD13" s="1816"/>
      <c r="AE13" s="1816"/>
      <c r="AF13" s="1816"/>
      <c r="AG13" s="1817"/>
      <c r="AH13" s="1815"/>
      <c r="AI13" s="1816"/>
      <c r="AJ13" s="1816"/>
      <c r="AK13" s="1816"/>
      <c r="AL13" s="1816"/>
      <c r="AM13" s="1816"/>
      <c r="AN13" s="1816"/>
      <c r="AO13" s="1816"/>
      <c r="AP13" s="1816"/>
      <c r="AQ13" s="1816"/>
      <c r="AR13" s="1816"/>
      <c r="AS13" s="1816"/>
      <c r="AT13" s="1816"/>
      <c r="AU13" s="1816"/>
      <c r="AV13" s="1816"/>
      <c r="AW13" s="1816"/>
      <c r="AX13" s="1816"/>
      <c r="AY13" s="1816"/>
      <c r="AZ13" s="1816"/>
      <c r="BA13" s="1816"/>
      <c r="BB13" s="1816"/>
      <c r="BC13" s="1816"/>
      <c r="BD13" s="1816"/>
      <c r="BE13" s="1816"/>
      <c r="BF13" s="1816"/>
      <c r="BG13" s="1816"/>
      <c r="BH13" s="1816"/>
      <c r="BI13" s="1816"/>
      <c r="BJ13" s="1816"/>
      <c r="BK13" s="1822"/>
    </row>
    <row r="14" spans="2:70" ht="18" customHeight="1">
      <c r="B14" s="1815"/>
      <c r="C14" s="1816"/>
      <c r="D14" s="1816"/>
      <c r="E14" s="1816"/>
      <c r="F14" s="1816"/>
      <c r="G14" s="1816"/>
      <c r="H14" s="1816"/>
      <c r="I14" s="1816"/>
      <c r="J14" s="1816"/>
      <c r="K14" s="1816"/>
      <c r="L14" s="1816"/>
      <c r="M14" s="1816"/>
      <c r="N14" s="1816"/>
      <c r="O14" s="1816"/>
      <c r="P14" s="1816"/>
      <c r="Q14" s="1816"/>
      <c r="R14" s="1816"/>
      <c r="S14" s="1816"/>
      <c r="T14" s="1816"/>
      <c r="U14" s="1816"/>
      <c r="V14" s="1816"/>
      <c r="W14" s="1816"/>
      <c r="X14" s="1816"/>
      <c r="Y14" s="1816"/>
      <c r="Z14" s="1816"/>
      <c r="AA14" s="1816"/>
      <c r="AB14" s="1816"/>
      <c r="AC14" s="1816"/>
      <c r="AD14" s="1816"/>
      <c r="AE14" s="1816"/>
      <c r="AF14" s="1816"/>
      <c r="AG14" s="1817"/>
      <c r="AH14" s="1815"/>
      <c r="AI14" s="1816"/>
      <c r="AJ14" s="1816"/>
      <c r="AK14" s="1816"/>
      <c r="AL14" s="1816"/>
      <c r="AM14" s="1816"/>
      <c r="AN14" s="1816"/>
      <c r="AO14" s="1816"/>
      <c r="AP14" s="1816"/>
      <c r="AQ14" s="1816"/>
      <c r="AR14" s="1816"/>
      <c r="AS14" s="1816"/>
      <c r="AT14" s="1816"/>
      <c r="AU14" s="1816"/>
      <c r="AV14" s="1816"/>
      <c r="AW14" s="1816"/>
      <c r="AX14" s="1816"/>
      <c r="AY14" s="1816"/>
      <c r="AZ14" s="1816"/>
      <c r="BA14" s="1816"/>
      <c r="BB14" s="1816"/>
      <c r="BC14" s="1816"/>
      <c r="BD14" s="1816"/>
      <c r="BE14" s="1816"/>
      <c r="BF14" s="1816"/>
      <c r="BG14" s="1816"/>
      <c r="BH14" s="1816"/>
      <c r="BI14" s="1816"/>
      <c r="BJ14" s="1816"/>
      <c r="BK14" s="1822"/>
    </row>
    <row r="15" spans="2:70" ht="18" customHeight="1">
      <c r="B15" s="1815"/>
      <c r="C15" s="1816"/>
      <c r="D15" s="1816"/>
      <c r="E15" s="1816"/>
      <c r="F15" s="1816"/>
      <c r="G15" s="1816"/>
      <c r="H15" s="1816"/>
      <c r="I15" s="1816"/>
      <c r="J15" s="1816"/>
      <c r="K15" s="1816"/>
      <c r="L15" s="1816"/>
      <c r="M15" s="1816"/>
      <c r="N15" s="1816"/>
      <c r="O15" s="1816"/>
      <c r="P15" s="1816"/>
      <c r="Q15" s="1816"/>
      <c r="R15" s="1816"/>
      <c r="S15" s="1816"/>
      <c r="T15" s="1816"/>
      <c r="U15" s="1816"/>
      <c r="V15" s="1816"/>
      <c r="W15" s="1816"/>
      <c r="X15" s="1816"/>
      <c r="Y15" s="1816"/>
      <c r="Z15" s="1816"/>
      <c r="AA15" s="1816"/>
      <c r="AB15" s="1816"/>
      <c r="AC15" s="1816"/>
      <c r="AD15" s="1816"/>
      <c r="AE15" s="1816"/>
      <c r="AF15" s="1816"/>
      <c r="AG15" s="1817"/>
      <c r="AH15" s="1815"/>
      <c r="AI15" s="1816"/>
      <c r="AJ15" s="1816"/>
      <c r="AK15" s="1816"/>
      <c r="AL15" s="1816"/>
      <c r="AM15" s="1816"/>
      <c r="AN15" s="1816"/>
      <c r="AO15" s="1816"/>
      <c r="AP15" s="1816"/>
      <c r="AQ15" s="1816"/>
      <c r="AR15" s="1816"/>
      <c r="AS15" s="1816"/>
      <c r="AT15" s="1816"/>
      <c r="AU15" s="1816"/>
      <c r="AV15" s="1816"/>
      <c r="AW15" s="1816"/>
      <c r="AX15" s="1816"/>
      <c r="AY15" s="1816"/>
      <c r="AZ15" s="1816"/>
      <c r="BA15" s="1816"/>
      <c r="BB15" s="1816"/>
      <c r="BC15" s="1816"/>
      <c r="BD15" s="1816"/>
      <c r="BE15" s="1816"/>
      <c r="BF15" s="1816"/>
      <c r="BG15" s="1816"/>
      <c r="BH15" s="1816"/>
      <c r="BI15" s="1816"/>
      <c r="BJ15" s="1816"/>
      <c r="BK15" s="1822"/>
    </row>
    <row r="16" spans="2:70" ht="18" customHeight="1">
      <c r="B16" s="1815"/>
      <c r="C16" s="1816"/>
      <c r="D16" s="1816"/>
      <c r="E16" s="1816"/>
      <c r="F16" s="1816"/>
      <c r="G16" s="1816"/>
      <c r="H16" s="1816"/>
      <c r="I16" s="1816"/>
      <c r="J16" s="1816"/>
      <c r="K16" s="1816"/>
      <c r="L16" s="1816"/>
      <c r="M16" s="1816"/>
      <c r="N16" s="1816"/>
      <c r="O16" s="1816"/>
      <c r="P16" s="1816"/>
      <c r="Q16" s="1816"/>
      <c r="R16" s="1816"/>
      <c r="S16" s="1816"/>
      <c r="T16" s="1816"/>
      <c r="U16" s="1816"/>
      <c r="V16" s="1816"/>
      <c r="W16" s="1816"/>
      <c r="X16" s="1816"/>
      <c r="Y16" s="1816"/>
      <c r="Z16" s="1816"/>
      <c r="AA16" s="1816"/>
      <c r="AB16" s="1816"/>
      <c r="AC16" s="1816"/>
      <c r="AD16" s="1816"/>
      <c r="AE16" s="1816"/>
      <c r="AF16" s="1816"/>
      <c r="AG16" s="1817"/>
      <c r="AH16" s="1815"/>
      <c r="AI16" s="1816"/>
      <c r="AJ16" s="1816"/>
      <c r="AK16" s="1816"/>
      <c r="AL16" s="1816"/>
      <c r="AM16" s="1816"/>
      <c r="AN16" s="1816"/>
      <c r="AO16" s="1816"/>
      <c r="AP16" s="1816"/>
      <c r="AQ16" s="1816"/>
      <c r="AR16" s="1816"/>
      <c r="AS16" s="1816"/>
      <c r="AT16" s="1816"/>
      <c r="AU16" s="1816"/>
      <c r="AV16" s="1816"/>
      <c r="AW16" s="1816"/>
      <c r="AX16" s="1816"/>
      <c r="AY16" s="1816"/>
      <c r="AZ16" s="1816"/>
      <c r="BA16" s="1816"/>
      <c r="BB16" s="1816"/>
      <c r="BC16" s="1816"/>
      <c r="BD16" s="1816"/>
      <c r="BE16" s="1816"/>
      <c r="BF16" s="1816"/>
      <c r="BG16" s="1816"/>
      <c r="BH16" s="1816"/>
      <c r="BI16" s="1816"/>
      <c r="BJ16" s="1816"/>
      <c r="BK16" s="1822"/>
    </row>
    <row r="17" spans="2:65" ht="18" customHeight="1">
      <c r="B17" s="1815"/>
      <c r="C17" s="1816"/>
      <c r="D17" s="1816"/>
      <c r="E17" s="1816"/>
      <c r="F17" s="1816"/>
      <c r="G17" s="1816"/>
      <c r="H17" s="1816"/>
      <c r="I17" s="1816"/>
      <c r="J17" s="1816"/>
      <c r="K17" s="1816"/>
      <c r="L17" s="1816"/>
      <c r="M17" s="1816"/>
      <c r="N17" s="1816"/>
      <c r="O17" s="1816"/>
      <c r="P17" s="1816"/>
      <c r="Q17" s="1816"/>
      <c r="R17" s="1816"/>
      <c r="S17" s="1816"/>
      <c r="T17" s="1816"/>
      <c r="U17" s="1816"/>
      <c r="V17" s="1816"/>
      <c r="W17" s="1816"/>
      <c r="X17" s="1816"/>
      <c r="Y17" s="1816"/>
      <c r="Z17" s="1816"/>
      <c r="AA17" s="1816"/>
      <c r="AB17" s="1816"/>
      <c r="AC17" s="1816"/>
      <c r="AD17" s="1816"/>
      <c r="AE17" s="1816"/>
      <c r="AF17" s="1816"/>
      <c r="AG17" s="1817"/>
      <c r="AH17" s="1815"/>
      <c r="AI17" s="1816"/>
      <c r="AJ17" s="1816"/>
      <c r="AK17" s="1816"/>
      <c r="AL17" s="1816"/>
      <c r="AM17" s="1816"/>
      <c r="AN17" s="1816"/>
      <c r="AO17" s="1816"/>
      <c r="AP17" s="1816"/>
      <c r="AQ17" s="1816"/>
      <c r="AR17" s="1816"/>
      <c r="AS17" s="1816"/>
      <c r="AT17" s="1816"/>
      <c r="AU17" s="1816"/>
      <c r="AV17" s="1816"/>
      <c r="AW17" s="1816"/>
      <c r="AX17" s="1816"/>
      <c r="AY17" s="1816"/>
      <c r="AZ17" s="1816"/>
      <c r="BA17" s="1816"/>
      <c r="BB17" s="1816"/>
      <c r="BC17" s="1816"/>
      <c r="BD17" s="1816"/>
      <c r="BE17" s="1816"/>
      <c r="BF17" s="1816"/>
      <c r="BG17" s="1816"/>
      <c r="BH17" s="1816"/>
      <c r="BI17" s="1816"/>
      <c r="BJ17" s="1816"/>
      <c r="BK17" s="1822"/>
    </row>
    <row r="18" spans="2:65" ht="18" customHeight="1">
      <c r="B18" s="1815"/>
      <c r="C18" s="1816"/>
      <c r="D18" s="1816"/>
      <c r="E18" s="1816"/>
      <c r="F18" s="1816"/>
      <c r="G18" s="1816"/>
      <c r="H18" s="1816"/>
      <c r="I18" s="1816"/>
      <c r="J18" s="1816"/>
      <c r="K18" s="1816"/>
      <c r="L18" s="1816"/>
      <c r="M18" s="1816"/>
      <c r="N18" s="1816"/>
      <c r="O18" s="1816"/>
      <c r="P18" s="1816"/>
      <c r="Q18" s="1816"/>
      <c r="R18" s="1816"/>
      <c r="S18" s="1816"/>
      <c r="T18" s="1816"/>
      <c r="U18" s="1816"/>
      <c r="V18" s="1816"/>
      <c r="W18" s="1816"/>
      <c r="X18" s="1816"/>
      <c r="Y18" s="1816"/>
      <c r="Z18" s="1816"/>
      <c r="AA18" s="1816"/>
      <c r="AB18" s="1816"/>
      <c r="AC18" s="1816"/>
      <c r="AD18" s="1816"/>
      <c r="AE18" s="1816"/>
      <c r="AF18" s="1816"/>
      <c r="AG18" s="1817"/>
      <c r="AH18" s="1815"/>
      <c r="AI18" s="1816"/>
      <c r="AJ18" s="1816"/>
      <c r="AK18" s="1816"/>
      <c r="AL18" s="1816"/>
      <c r="AM18" s="1816"/>
      <c r="AN18" s="1816"/>
      <c r="AO18" s="1816"/>
      <c r="AP18" s="1816"/>
      <c r="AQ18" s="1816"/>
      <c r="AR18" s="1816"/>
      <c r="AS18" s="1816"/>
      <c r="AT18" s="1816"/>
      <c r="AU18" s="1816"/>
      <c r="AV18" s="1816"/>
      <c r="AW18" s="1816"/>
      <c r="AX18" s="1816"/>
      <c r="AY18" s="1816"/>
      <c r="AZ18" s="1816"/>
      <c r="BA18" s="1816"/>
      <c r="BB18" s="1816"/>
      <c r="BC18" s="1816"/>
      <c r="BD18" s="1816"/>
      <c r="BE18" s="1816"/>
      <c r="BF18" s="1816"/>
      <c r="BG18" s="1816"/>
      <c r="BH18" s="1816"/>
      <c r="BI18" s="1816"/>
      <c r="BJ18" s="1816"/>
      <c r="BK18" s="1822"/>
    </row>
    <row r="19" spans="2:65" ht="18" customHeight="1">
      <c r="B19" s="1815"/>
      <c r="C19" s="1816"/>
      <c r="D19" s="1816"/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6"/>
      <c r="Q19" s="1816"/>
      <c r="R19" s="1816"/>
      <c r="S19" s="1816"/>
      <c r="T19" s="1816"/>
      <c r="U19" s="1816"/>
      <c r="V19" s="1816"/>
      <c r="W19" s="1816"/>
      <c r="X19" s="1816"/>
      <c r="Y19" s="1816"/>
      <c r="Z19" s="1816"/>
      <c r="AA19" s="1816"/>
      <c r="AB19" s="1816"/>
      <c r="AC19" s="1816"/>
      <c r="AD19" s="1816"/>
      <c r="AE19" s="1816"/>
      <c r="AF19" s="1816"/>
      <c r="AG19" s="1817"/>
      <c r="AH19" s="1815"/>
      <c r="AI19" s="1816"/>
      <c r="AJ19" s="1816"/>
      <c r="AK19" s="1816"/>
      <c r="AL19" s="1816"/>
      <c r="AM19" s="1816"/>
      <c r="AN19" s="1816"/>
      <c r="AO19" s="1816"/>
      <c r="AP19" s="1816"/>
      <c r="AQ19" s="1816"/>
      <c r="AR19" s="1816"/>
      <c r="AS19" s="1816"/>
      <c r="AT19" s="1816"/>
      <c r="AU19" s="1816"/>
      <c r="AV19" s="1816"/>
      <c r="AW19" s="1816"/>
      <c r="AX19" s="1816"/>
      <c r="AY19" s="1816"/>
      <c r="AZ19" s="1816"/>
      <c r="BA19" s="1816"/>
      <c r="BB19" s="1816"/>
      <c r="BC19" s="1816"/>
      <c r="BD19" s="1816"/>
      <c r="BE19" s="1816"/>
      <c r="BF19" s="1816"/>
      <c r="BG19" s="1816"/>
      <c r="BH19" s="1816"/>
      <c r="BI19" s="1816"/>
      <c r="BJ19" s="1816"/>
      <c r="BK19" s="1822"/>
    </row>
    <row r="20" spans="2:65" ht="18" customHeight="1">
      <c r="B20" s="1815"/>
      <c r="C20" s="1816"/>
      <c r="D20" s="1816"/>
      <c r="E20" s="1816"/>
      <c r="F20" s="1816"/>
      <c r="G20" s="1816"/>
      <c r="H20" s="1816"/>
      <c r="I20" s="1816"/>
      <c r="J20" s="1816"/>
      <c r="K20" s="1816"/>
      <c r="L20" s="1816"/>
      <c r="M20" s="1816"/>
      <c r="N20" s="1816"/>
      <c r="O20" s="1816"/>
      <c r="P20" s="1816"/>
      <c r="Q20" s="1816"/>
      <c r="R20" s="1816"/>
      <c r="S20" s="1816"/>
      <c r="T20" s="1816"/>
      <c r="U20" s="1816"/>
      <c r="V20" s="1816"/>
      <c r="W20" s="1816"/>
      <c r="X20" s="1816"/>
      <c r="Y20" s="1816"/>
      <c r="Z20" s="1816"/>
      <c r="AA20" s="1816"/>
      <c r="AB20" s="1816"/>
      <c r="AC20" s="1816"/>
      <c r="AD20" s="1816"/>
      <c r="AE20" s="1816"/>
      <c r="AF20" s="1816"/>
      <c r="AG20" s="1817"/>
      <c r="AH20" s="1815"/>
      <c r="AI20" s="1816"/>
      <c r="AJ20" s="1816"/>
      <c r="AK20" s="1816"/>
      <c r="AL20" s="1816"/>
      <c r="AM20" s="1816"/>
      <c r="AN20" s="1816"/>
      <c r="AO20" s="1816"/>
      <c r="AP20" s="1816"/>
      <c r="AQ20" s="1816"/>
      <c r="AR20" s="1816"/>
      <c r="AS20" s="1816"/>
      <c r="AT20" s="1816"/>
      <c r="AU20" s="1816"/>
      <c r="AV20" s="1816"/>
      <c r="AW20" s="1816"/>
      <c r="AX20" s="1816"/>
      <c r="AY20" s="1816"/>
      <c r="AZ20" s="1816"/>
      <c r="BA20" s="1816"/>
      <c r="BB20" s="1816"/>
      <c r="BC20" s="1816"/>
      <c r="BD20" s="1816"/>
      <c r="BE20" s="1816"/>
      <c r="BF20" s="1816"/>
      <c r="BG20" s="1816"/>
      <c r="BH20" s="1816"/>
      <c r="BI20" s="1816"/>
      <c r="BJ20" s="1816"/>
      <c r="BK20" s="1822"/>
    </row>
    <row r="21" spans="2:65" ht="18" customHeight="1">
      <c r="B21" s="1815"/>
      <c r="C21" s="1816"/>
      <c r="D21" s="1816"/>
      <c r="E21" s="1816"/>
      <c r="F21" s="1816"/>
      <c r="G21" s="1816"/>
      <c r="H21" s="1816"/>
      <c r="I21" s="1816"/>
      <c r="J21" s="1816"/>
      <c r="K21" s="1816"/>
      <c r="L21" s="1816"/>
      <c r="M21" s="1816"/>
      <c r="N21" s="1816"/>
      <c r="O21" s="1816"/>
      <c r="P21" s="1816"/>
      <c r="Q21" s="1816"/>
      <c r="R21" s="1816"/>
      <c r="S21" s="1816"/>
      <c r="T21" s="1816"/>
      <c r="U21" s="1816"/>
      <c r="V21" s="1816"/>
      <c r="W21" s="1816"/>
      <c r="X21" s="1816"/>
      <c r="Y21" s="1816"/>
      <c r="Z21" s="1816"/>
      <c r="AA21" s="1816"/>
      <c r="AB21" s="1816"/>
      <c r="AC21" s="1816"/>
      <c r="AD21" s="1816"/>
      <c r="AE21" s="1816"/>
      <c r="AF21" s="1816"/>
      <c r="AG21" s="1817"/>
      <c r="AH21" s="1815"/>
      <c r="AI21" s="1816"/>
      <c r="AJ21" s="1816"/>
      <c r="AK21" s="1816"/>
      <c r="AL21" s="1816"/>
      <c r="AM21" s="1816"/>
      <c r="AN21" s="1816"/>
      <c r="AO21" s="1816"/>
      <c r="AP21" s="1816"/>
      <c r="AQ21" s="1816"/>
      <c r="AR21" s="1816"/>
      <c r="AS21" s="1816"/>
      <c r="AT21" s="1816"/>
      <c r="AU21" s="1816"/>
      <c r="AV21" s="1816"/>
      <c r="AW21" s="1816"/>
      <c r="AX21" s="1816"/>
      <c r="AY21" s="1816"/>
      <c r="AZ21" s="1816"/>
      <c r="BA21" s="1816"/>
      <c r="BB21" s="1816"/>
      <c r="BC21" s="1816"/>
      <c r="BD21" s="1816"/>
      <c r="BE21" s="1816"/>
      <c r="BF21" s="1816"/>
      <c r="BG21" s="1816"/>
      <c r="BH21" s="1816"/>
      <c r="BI21" s="1816"/>
      <c r="BJ21" s="1816"/>
      <c r="BK21" s="1822"/>
    </row>
    <row r="22" spans="2:65" ht="18" customHeight="1">
      <c r="B22" s="1815"/>
      <c r="C22" s="1816"/>
      <c r="D22" s="1816"/>
      <c r="E22" s="1816"/>
      <c r="F22" s="1816"/>
      <c r="G22" s="1816"/>
      <c r="H22" s="1816"/>
      <c r="I22" s="1816"/>
      <c r="J22" s="1816"/>
      <c r="K22" s="1816"/>
      <c r="L22" s="1816"/>
      <c r="M22" s="1816"/>
      <c r="N22" s="1816"/>
      <c r="O22" s="1816"/>
      <c r="P22" s="1816"/>
      <c r="Q22" s="1816"/>
      <c r="R22" s="1816"/>
      <c r="S22" s="1816"/>
      <c r="T22" s="1816"/>
      <c r="U22" s="1816"/>
      <c r="V22" s="1816"/>
      <c r="W22" s="1816"/>
      <c r="X22" s="1816"/>
      <c r="Y22" s="1816"/>
      <c r="Z22" s="1816"/>
      <c r="AA22" s="1816"/>
      <c r="AB22" s="1816"/>
      <c r="AC22" s="1816"/>
      <c r="AD22" s="1816"/>
      <c r="AE22" s="1816"/>
      <c r="AF22" s="1816"/>
      <c r="AG22" s="1817"/>
      <c r="AH22" s="1815"/>
      <c r="AI22" s="1816"/>
      <c r="AJ22" s="1816"/>
      <c r="AK22" s="1816"/>
      <c r="AL22" s="1816"/>
      <c r="AM22" s="1816"/>
      <c r="AN22" s="1816"/>
      <c r="AO22" s="1816"/>
      <c r="AP22" s="1816"/>
      <c r="AQ22" s="1816"/>
      <c r="AR22" s="1816"/>
      <c r="AS22" s="1816"/>
      <c r="AT22" s="1816"/>
      <c r="AU22" s="1816"/>
      <c r="AV22" s="1816"/>
      <c r="AW22" s="1816"/>
      <c r="AX22" s="1816"/>
      <c r="AY22" s="1816"/>
      <c r="AZ22" s="1816"/>
      <c r="BA22" s="1816"/>
      <c r="BB22" s="1816"/>
      <c r="BC22" s="1816"/>
      <c r="BD22" s="1816"/>
      <c r="BE22" s="1816"/>
      <c r="BF22" s="1816"/>
      <c r="BG22" s="1816"/>
      <c r="BH22" s="1816"/>
      <c r="BI22" s="1816"/>
      <c r="BJ22" s="1816"/>
      <c r="BK22" s="1822"/>
    </row>
    <row r="23" spans="2:65" ht="18" customHeight="1">
      <c r="B23" s="1815"/>
      <c r="C23" s="1816"/>
      <c r="D23" s="1816"/>
      <c r="E23" s="1816"/>
      <c r="F23" s="1816"/>
      <c r="G23" s="1816"/>
      <c r="H23" s="1816"/>
      <c r="I23" s="1816"/>
      <c r="J23" s="1816"/>
      <c r="K23" s="1816"/>
      <c r="L23" s="1816"/>
      <c r="M23" s="1816"/>
      <c r="N23" s="1816"/>
      <c r="O23" s="1816"/>
      <c r="P23" s="1816"/>
      <c r="Q23" s="1816"/>
      <c r="R23" s="1816"/>
      <c r="S23" s="1816"/>
      <c r="T23" s="1816"/>
      <c r="U23" s="1816"/>
      <c r="V23" s="1816"/>
      <c r="W23" s="1816"/>
      <c r="X23" s="1816"/>
      <c r="Y23" s="1816"/>
      <c r="Z23" s="1816"/>
      <c r="AA23" s="1816"/>
      <c r="AB23" s="1816"/>
      <c r="AC23" s="1816"/>
      <c r="AD23" s="1816"/>
      <c r="AE23" s="1816"/>
      <c r="AF23" s="1816"/>
      <c r="AG23" s="1817"/>
      <c r="AH23" s="1815"/>
      <c r="AI23" s="1816"/>
      <c r="AJ23" s="1816"/>
      <c r="AK23" s="1816"/>
      <c r="AL23" s="1816"/>
      <c r="AM23" s="1816"/>
      <c r="AN23" s="1816"/>
      <c r="AO23" s="1816"/>
      <c r="AP23" s="1816"/>
      <c r="AQ23" s="1816"/>
      <c r="AR23" s="1816"/>
      <c r="AS23" s="1816"/>
      <c r="AT23" s="1816"/>
      <c r="AU23" s="1816"/>
      <c r="AV23" s="1816"/>
      <c r="AW23" s="1816"/>
      <c r="AX23" s="1816"/>
      <c r="AY23" s="1816"/>
      <c r="AZ23" s="1816"/>
      <c r="BA23" s="1816"/>
      <c r="BB23" s="1816"/>
      <c r="BC23" s="1816"/>
      <c r="BD23" s="1816"/>
      <c r="BE23" s="1816"/>
      <c r="BF23" s="1816"/>
      <c r="BG23" s="1816"/>
      <c r="BH23" s="1816"/>
      <c r="BI23" s="1816"/>
      <c r="BJ23" s="1816"/>
      <c r="BK23" s="1822"/>
    </row>
    <row r="24" spans="2:65" ht="18" customHeight="1">
      <c r="B24" s="1815"/>
      <c r="C24" s="1816"/>
      <c r="D24" s="1816"/>
      <c r="E24" s="1816"/>
      <c r="F24" s="1816"/>
      <c r="G24" s="1816"/>
      <c r="H24" s="1816"/>
      <c r="I24" s="1816"/>
      <c r="J24" s="1816"/>
      <c r="K24" s="1816"/>
      <c r="L24" s="1816"/>
      <c r="M24" s="1816"/>
      <c r="N24" s="1816"/>
      <c r="O24" s="1816"/>
      <c r="P24" s="1816"/>
      <c r="Q24" s="1816"/>
      <c r="R24" s="1816"/>
      <c r="S24" s="1816"/>
      <c r="T24" s="1816"/>
      <c r="U24" s="1816"/>
      <c r="V24" s="1816"/>
      <c r="W24" s="1816"/>
      <c r="X24" s="1816"/>
      <c r="Y24" s="1816"/>
      <c r="Z24" s="1816"/>
      <c r="AA24" s="1816"/>
      <c r="AB24" s="1816"/>
      <c r="AC24" s="1816"/>
      <c r="AD24" s="1816"/>
      <c r="AE24" s="1816"/>
      <c r="AF24" s="1816"/>
      <c r="AG24" s="1817"/>
      <c r="AH24" s="1815"/>
      <c r="AI24" s="1816"/>
      <c r="AJ24" s="1816"/>
      <c r="AK24" s="1816"/>
      <c r="AL24" s="1816"/>
      <c r="AM24" s="1816"/>
      <c r="AN24" s="1816"/>
      <c r="AO24" s="1816"/>
      <c r="AP24" s="1816"/>
      <c r="AQ24" s="1816"/>
      <c r="AR24" s="1816"/>
      <c r="AS24" s="1816"/>
      <c r="AT24" s="1816"/>
      <c r="AU24" s="1816"/>
      <c r="AV24" s="1816"/>
      <c r="AW24" s="1816"/>
      <c r="AX24" s="1816"/>
      <c r="AY24" s="1816"/>
      <c r="AZ24" s="1816"/>
      <c r="BA24" s="1816"/>
      <c r="BB24" s="1816"/>
      <c r="BC24" s="1816"/>
      <c r="BD24" s="1816"/>
      <c r="BE24" s="1816"/>
      <c r="BF24" s="1816"/>
      <c r="BG24" s="1816"/>
      <c r="BH24" s="1816"/>
      <c r="BI24" s="1816"/>
      <c r="BJ24" s="1816"/>
      <c r="BK24" s="1822"/>
      <c r="BL24" s="253"/>
      <c r="BM24" s="253"/>
    </row>
    <row r="25" spans="2:65" ht="18" customHeight="1">
      <c r="B25" s="1815"/>
      <c r="C25" s="1816"/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6"/>
      <c r="T25" s="1816"/>
      <c r="U25" s="1816"/>
      <c r="V25" s="1816"/>
      <c r="W25" s="1816"/>
      <c r="X25" s="1816"/>
      <c r="Y25" s="1816"/>
      <c r="Z25" s="1816"/>
      <c r="AA25" s="1816"/>
      <c r="AB25" s="1816"/>
      <c r="AC25" s="1816"/>
      <c r="AD25" s="1816"/>
      <c r="AE25" s="1816"/>
      <c r="AF25" s="1816"/>
      <c r="AG25" s="1817"/>
      <c r="AH25" s="1815"/>
      <c r="AI25" s="1816"/>
      <c r="AJ25" s="1816"/>
      <c r="AK25" s="1816"/>
      <c r="AL25" s="1816"/>
      <c r="AM25" s="1816"/>
      <c r="AN25" s="1816"/>
      <c r="AO25" s="1816"/>
      <c r="AP25" s="1816"/>
      <c r="AQ25" s="1816"/>
      <c r="AR25" s="1816"/>
      <c r="AS25" s="1816"/>
      <c r="AT25" s="1816"/>
      <c r="AU25" s="1816"/>
      <c r="AV25" s="1816"/>
      <c r="AW25" s="1816"/>
      <c r="AX25" s="1816"/>
      <c r="AY25" s="1816"/>
      <c r="AZ25" s="1816"/>
      <c r="BA25" s="1816"/>
      <c r="BB25" s="1816"/>
      <c r="BC25" s="1816"/>
      <c r="BD25" s="1816"/>
      <c r="BE25" s="1816"/>
      <c r="BF25" s="1816"/>
      <c r="BG25" s="1816"/>
      <c r="BH25" s="1816"/>
      <c r="BI25" s="1816"/>
      <c r="BJ25" s="1816"/>
      <c r="BK25" s="1822"/>
      <c r="BL25" s="253"/>
      <c r="BM25" s="253"/>
    </row>
    <row r="26" spans="2:65" ht="18" customHeight="1">
      <c r="B26" s="1815"/>
      <c r="C26" s="1816"/>
      <c r="D26" s="1816"/>
      <c r="E26" s="1816"/>
      <c r="F26" s="1816"/>
      <c r="G26" s="1816"/>
      <c r="H26" s="1816"/>
      <c r="I26" s="1816"/>
      <c r="J26" s="1816"/>
      <c r="K26" s="1816"/>
      <c r="L26" s="1816"/>
      <c r="M26" s="1816"/>
      <c r="N26" s="1816"/>
      <c r="O26" s="1816"/>
      <c r="P26" s="1816"/>
      <c r="Q26" s="1816"/>
      <c r="R26" s="1816"/>
      <c r="S26" s="1816"/>
      <c r="T26" s="1816"/>
      <c r="U26" s="1816"/>
      <c r="V26" s="1816"/>
      <c r="W26" s="1816"/>
      <c r="X26" s="1816"/>
      <c r="Y26" s="1816"/>
      <c r="Z26" s="1816"/>
      <c r="AA26" s="1816"/>
      <c r="AB26" s="1816"/>
      <c r="AC26" s="1816"/>
      <c r="AD26" s="1816"/>
      <c r="AE26" s="1816"/>
      <c r="AF26" s="1816"/>
      <c r="AG26" s="1817"/>
      <c r="AH26" s="1815"/>
      <c r="AI26" s="1816"/>
      <c r="AJ26" s="1816"/>
      <c r="AK26" s="1816"/>
      <c r="AL26" s="1816"/>
      <c r="AM26" s="1816"/>
      <c r="AN26" s="1816"/>
      <c r="AO26" s="1816"/>
      <c r="AP26" s="1816"/>
      <c r="AQ26" s="1816"/>
      <c r="AR26" s="1816"/>
      <c r="AS26" s="1816"/>
      <c r="AT26" s="1816"/>
      <c r="AU26" s="1816"/>
      <c r="AV26" s="1816"/>
      <c r="AW26" s="1816"/>
      <c r="AX26" s="1816"/>
      <c r="AY26" s="1816"/>
      <c r="AZ26" s="1816"/>
      <c r="BA26" s="1816"/>
      <c r="BB26" s="1816"/>
      <c r="BC26" s="1816"/>
      <c r="BD26" s="1816"/>
      <c r="BE26" s="1816"/>
      <c r="BF26" s="1816"/>
      <c r="BG26" s="1816"/>
      <c r="BH26" s="1816"/>
      <c r="BI26" s="1816"/>
      <c r="BJ26" s="1816"/>
      <c r="BK26" s="1822"/>
      <c r="BL26" s="253"/>
      <c r="BM26" s="253"/>
    </row>
    <row r="27" spans="2:65" ht="18" customHeight="1">
      <c r="B27" s="1815"/>
      <c r="C27" s="1816"/>
      <c r="D27" s="1816"/>
      <c r="E27" s="1816"/>
      <c r="F27" s="1816"/>
      <c r="G27" s="1816"/>
      <c r="H27" s="1816"/>
      <c r="I27" s="1816"/>
      <c r="J27" s="1816"/>
      <c r="K27" s="1816"/>
      <c r="L27" s="1816"/>
      <c r="M27" s="1816"/>
      <c r="N27" s="1816"/>
      <c r="O27" s="1816"/>
      <c r="P27" s="1816"/>
      <c r="Q27" s="1816"/>
      <c r="R27" s="1816"/>
      <c r="S27" s="1816"/>
      <c r="T27" s="1816"/>
      <c r="U27" s="1816"/>
      <c r="V27" s="1816"/>
      <c r="W27" s="1816"/>
      <c r="X27" s="1816"/>
      <c r="Y27" s="1816"/>
      <c r="Z27" s="1816"/>
      <c r="AA27" s="1816"/>
      <c r="AB27" s="1816"/>
      <c r="AC27" s="1816"/>
      <c r="AD27" s="1816"/>
      <c r="AE27" s="1816"/>
      <c r="AF27" s="1816"/>
      <c r="AG27" s="1817"/>
      <c r="AH27" s="1815"/>
      <c r="AI27" s="1816"/>
      <c r="AJ27" s="1816"/>
      <c r="AK27" s="1816"/>
      <c r="AL27" s="1816"/>
      <c r="AM27" s="1816"/>
      <c r="AN27" s="1816"/>
      <c r="AO27" s="1816"/>
      <c r="AP27" s="1816"/>
      <c r="AQ27" s="1816"/>
      <c r="AR27" s="1816"/>
      <c r="AS27" s="1816"/>
      <c r="AT27" s="1816"/>
      <c r="AU27" s="1816"/>
      <c r="AV27" s="1816"/>
      <c r="AW27" s="1816"/>
      <c r="AX27" s="1816"/>
      <c r="AY27" s="1816"/>
      <c r="AZ27" s="1816"/>
      <c r="BA27" s="1816"/>
      <c r="BB27" s="1816"/>
      <c r="BC27" s="1816"/>
      <c r="BD27" s="1816"/>
      <c r="BE27" s="1816"/>
      <c r="BF27" s="1816"/>
      <c r="BG27" s="1816"/>
      <c r="BH27" s="1816"/>
      <c r="BI27" s="1816"/>
      <c r="BJ27" s="1816"/>
      <c r="BK27" s="1822"/>
      <c r="BL27" s="253"/>
      <c r="BM27" s="253"/>
    </row>
    <row r="28" spans="2:65" ht="18" customHeight="1">
      <c r="B28" s="1815"/>
      <c r="C28" s="1816"/>
      <c r="D28" s="1816"/>
      <c r="E28" s="1816"/>
      <c r="F28" s="1816"/>
      <c r="G28" s="1816"/>
      <c r="H28" s="1816"/>
      <c r="I28" s="1816"/>
      <c r="J28" s="1816"/>
      <c r="K28" s="1816"/>
      <c r="L28" s="1816"/>
      <c r="M28" s="1816"/>
      <c r="N28" s="1816"/>
      <c r="O28" s="1816"/>
      <c r="P28" s="1816"/>
      <c r="Q28" s="1816"/>
      <c r="R28" s="1816"/>
      <c r="S28" s="1816"/>
      <c r="T28" s="1816"/>
      <c r="U28" s="1816"/>
      <c r="V28" s="1816"/>
      <c r="W28" s="1816"/>
      <c r="X28" s="1816"/>
      <c r="Y28" s="1816"/>
      <c r="Z28" s="1816"/>
      <c r="AA28" s="1816"/>
      <c r="AB28" s="1816"/>
      <c r="AC28" s="1816"/>
      <c r="AD28" s="1816"/>
      <c r="AE28" s="1816"/>
      <c r="AF28" s="1816"/>
      <c r="AG28" s="1817"/>
      <c r="AH28" s="1815"/>
      <c r="AI28" s="1816"/>
      <c r="AJ28" s="1816"/>
      <c r="AK28" s="1816"/>
      <c r="AL28" s="1816"/>
      <c r="AM28" s="1816"/>
      <c r="AN28" s="1816"/>
      <c r="AO28" s="1816"/>
      <c r="AP28" s="1816"/>
      <c r="AQ28" s="1816"/>
      <c r="AR28" s="1816"/>
      <c r="AS28" s="1816"/>
      <c r="AT28" s="1816"/>
      <c r="AU28" s="1816"/>
      <c r="AV28" s="1816"/>
      <c r="AW28" s="1816"/>
      <c r="AX28" s="1816"/>
      <c r="AY28" s="1816"/>
      <c r="AZ28" s="1816"/>
      <c r="BA28" s="1816"/>
      <c r="BB28" s="1816"/>
      <c r="BC28" s="1816"/>
      <c r="BD28" s="1816"/>
      <c r="BE28" s="1816"/>
      <c r="BF28" s="1816"/>
      <c r="BG28" s="1816"/>
      <c r="BH28" s="1816"/>
      <c r="BI28" s="1816"/>
      <c r="BJ28" s="1816"/>
      <c r="BK28" s="1822"/>
      <c r="BL28" s="253"/>
      <c r="BM28" s="253"/>
    </row>
    <row r="29" spans="2:65" ht="12.75" customHeight="1">
      <c r="B29" s="1815"/>
      <c r="C29" s="1816"/>
      <c r="D29" s="1816"/>
      <c r="E29" s="1816"/>
      <c r="F29" s="1816"/>
      <c r="G29" s="1816"/>
      <c r="H29" s="1816"/>
      <c r="I29" s="1816"/>
      <c r="J29" s="1816"/>
      <c r="K29" s="1816"/>
      <c r="L29" s="1816"/>
      <c r="M29" s="1816"/>
      <c r="N29" s="1816"/>
      <c r="O29" s="1816"/>
      <c r="P29" s="1816"/>
      <c r="Q29" s="1816"/>
      <c r="R29" s="1816"/>
      <c r="S29" s="1816"/>
      <c r="T29" s="1816"/>
      <c r="U29" s="1816"/>
      <c r="V29" s="1816"/>
      <c r="W29" s="1816"/>
      <c r="X29" s="1816"/>
      <c r="Y29" s="1816"/>
      <c r="Z29" s="1816"/>
      <c r="AA29" s="1816"/>
      <c r="AB29" s="1816"/>
      <c r="AC29" s="1816"/>
      <c r="AD29" s="1816"/>
      <c r="AE29" s="1816"/>
      <c r="AF29" s="1816"/>
      <c r="AG29" s="1817"/>
      <c r="AH29" s="1815"/>
      <c r="AI29" s="1816"/>
      <c r="AJ29" s="1816"/>
      <c r="AK29" s="1816"/>
      <c r="AL29" s="1816"/>
      <c r="AM29" s="1816"/>
      <c r="AN29" s="1816"/>
      <c r="AO29" s="1816"/>
      <c r="AP29" s="1816"/>
      <c r="AQ29" s="1816"/>
      <c r="AR29" s="1816"/>
      <c r="AS29" s="1816"/>
      <c r="AT29" s="1816"/>
      <c r="AU29" s="1816"/>
      <c r="AV29" s="1816"/>
      <c r="AW29" s="1816"/>
      <c r="AX29" s="1816"/>
      <c r="AY29" s="1816"/>
      <c r="AZ29" s="1816"/>
      <c r="BA29" s="1816"/>
      <c r="BB29" s="1816"/>
      <c r="BC29" s="1816"/>
      <c r="BD29" s="1816"/>
      <c r="BE29" s="1816"/>
      <c r="BF29" s="1816"/>
      <c r="BG29" s="1816"/>
      <c r="BH29" s="1816"/>
      <c r="BI29" s="1816"/>
      <c r="BJ29" s="1816"/>
      <c r="BK29" s="1822"/>
      <c r="BL29" s="253"/>
      <c r="BM29" s="253"/>
    </row>
    <row r="30" spans="2:65" ht="12.75" customHeight="1">
      <c r="B30" s="1815"/>
      <c r="C30" s="1816"/>
      <c r="D30" s="1816"/>
      <c r="E30" s="1816"/>
      <c r="F30" s="1816"/>
      <c r="G30" s="1816"/>
      <c r="H30" s="1816"/>
      <c r="I30" s="1816"/>
      <c r="J30" s="1816"/>
      <c r="K30" s="1816"/>
      <c r="L30" s="1816"/>
      <c r="M30" s="1816"/>
      <c r="N30" s="1816"/>
      <c r="O30" s="1816"/>
      <c r="P30" s="1816"/>
      <c r="Q30" s="1816"/>
      <c r="R30" s="1816"/>
      <c r="S30" s="1816"/>
      <c r="T30" s="1816"/>
      <c r="U30" s="1816"/>
      <c r="V30" s="1816"/>
      <c r="W30" s="1816"/>
      <c r="X30" s="1816"/>
      <c r="Y30" s="1816"/>
      <c r="Z30" s="1816"/>
      <c r="AA30" s="1816"/>
      <c r="AB30" s="1816"/>
      <c r="AC30" s="1816"/>
      <c r="AD30" s="1816"/>
      <c r="AE30" s="1816"/>
      <c r="AF30" s="1816"/>
      <c r="AG30" s="1817"/>
      <c r="AH30" s="1815"/>
      <c r="AI30" s="1816"/>
      <c r="AJ30" s="1816"/>
      <c r="AK30" s="1816"/>
      <c r="AL30" s="1816"/>
      <c r="AM30" s="1816"/>
      <c r="AN30" s="1816"/>
      <c r="AO30" s="1816"/>
      <c r="AP30" s="1816"/>
      <c r="AQ30" s="1816"/>
      <c r="AR30" s="1816"/>
      <c r="AS30" s="1816"/>
      <c r="AT30" s="1816"/>
      <c r="AU30" s="1816"/>
      <c r="AV30" s="1816"/>
      <c r="AW30" s="1816"/>
      <c r="AX30" s="1816"/>
      <c r="AY30" s="1816"/>
      <c r="AZ30" s="1816"/>
      <c r="BA30" s="1816"/>
      <c r="BB30" s="1816"/>
      <c r="BC30" s="1816"/>
      <c r="BD30" s="1816"/>
      <c r="BE30" s="1816"/>
      <c r="BF30" s="1816"/>
      <c r="BG30" s="1816"/>
      <c r="BH30" s="1816"/>
      <c r="BI30" s="1816"/>
      <c r="BJ30" s="1816"/>
      <c r="BK30" s="1822"/>
      <c r="BL30" s="253"/>
      <c r="BM30" s="253"/>
    </row>
    <row r="31" spans="2:65" ht="12.75" customHeight="1">
      <c r="B31" s="1815"/>
      <c r="C31" s="1816"/>
      <c r="D31" s="1816"/>
      <c r="E31" s="1816"/>
      <c r="F31" s="1816"/>
      <c r="G31" s="1816"/>
      <c r="H31" s="1816"/>
      <c r="I31" s="1816"/>
      <c r="J31" s="1816"/>
      <c r="K31" s="1816"/>
      <c r="L31" s="1816"/>
      <c r="M31" s="1816"/>
      <c r="N31" s="1816"/>
      <c r="O31" s="1816"/>
      <c r="P31" s="1816"/>
      <c r="Q31" s="1816"/>
      <c r="R31" s="1816"/>
      <c r="S31" s="1816"/>
      <c r="T31" s="1816"/>
      <c r="U31" s="1816"/>
      <c r="V31" s="1816"/>
      <c r="W31" s="1816"/>
      <c r="X31" s="1816"/>
      <c r="Y31" s="1816"/>
      <c r="Z31" s="1816"/>
      <c r="AA31" s="1816"/>
      <c r="AB31" s="1816"/>
      <c r="AC31" s="1816"/>
      <c r="AD31" s="1816"/>
      <c r="AE31" s="1816"/>
      <c r="AF31" s="1816"/>
      <c r="AG31" s="1817"/>
      <c r="AH31" s="1815"/>
      <c r="AI31" s="1816"/>
      <c r="AJ31" s="1816"/>
      <c r="AK31" s="1816"/>
      <c r="AL31" s="1816"/>
      <c r="AM31" s="1816"/>
      <c r="AN31" s="1816"/>
      <c r="AO31" s="1816"/>
      <c r="AP31" s="1816"/>
      <c r="AQ31" s="1816"/>
      <c r="AR31" s="1816"/>
      <c r="AS31" s="1816"/>
      <c r="AT31" s="1816"/>
      <c r="AU31" s="1816"/>
      <c r="AV31" s="1816"/>
      <c r="AW31" s="1816"/>
      <c r="AX31" s="1816"/>
      <c r="AY31" s="1816"/>
      <c r="AZ31" s="1816"/>
      <c r="BA31" s="1816"/>
      <c r="BB31" s="1816"/>
      <c r="BC31" s="1816"/>
      <c r="BD31" s="1816"/>
      <c r="BE31" s="1816"/>
      <c r="BF31" s="1816"/>
      <c r="BG31" s="1816"/>
      <c r="BH31" s="1816"/>
      <c r="BI31" s="1816"/>
      <c r="BJ31" s="1816"/>
      <c r="BK31" s="1822"/>
      <c r="BL31" s="253"/>
      <c r="BM31" s="253"/>
    </row>
    <row r="32" spans="2:65" ht="12.75" customHeight="1">
      <c r="B32" s="1815"/>
      <c r="C32" s="1816"/>
      <c r="D32" s="1816"/>
      <c r="E32" s="1816"/>
      <c r="F32" s="1816"/>
      <c r="G32" s="1816"/>
      <c r="H32" s="1816"/>
      <c r="I32" s="1816"/>
      <c r="J32" s="1816"/>
      <c r="K32" s="1816"/>
      <c r="L32" s="1816"/>
      <c r="M32" s="1816"/>
      <c r="N32" s="1816"/>
      <c r="O32" s="1816"/>
      <c r="P32" s="1816"/>
      <c r="Q32" s="1816"/>
      <c r="R32" s="1816"/>
      <c r="S32" s="1816"/>
      <c r="T32" s="1816"/>
      <c r="U32" s="1816"/>
      <c r="V32" s="1816"/>
      <c r="W32" s="1816"/>
      <c r="X32" s="1816"/>
      <c r="Y32" s="1816"/>
      <c r="Z32" s="1816"/>
      <c r="AA32" s="1816"/>
      <c r="AB32" s="1816"/>
      <c r="AC32" s="1816"/>
      <c r="AD32" s="1816"/>
      <c r="AE32" s="1816"/>
      <c r="AF32" s="1816"/>
      <c r="AG32" s="1817"/>
      <c r="AH32" s="1815"/>
      <c r="AI32" s="1816"/>
      <c r="AJ32" s="1816"/>
      <c r="AK32" s="1816"/>
      <c r="AL32" s="1816"/>
      <c r="AM32" s="1816"/>
      <c r="AN32" s="1816"/>
      <c r="AO32" s="1816"/>
      <c r="AP32" s="1816"/>
      <c r="AQ32" s="1816"/>
      <c r="AR32" s="1816"/>
      <c r="AS32" s="1816"/>
      <c r="AT32" s="1816"/>
      <c r="AU32" s="1816"/>
      <c r="AV32" s="1816"/>
      <c r="AW32" s="1816"/>
      <c r="AX32" s="1816"/>
      <c r="AY32" s="1816"/>
      <c r="AZ32" s="1816"/>
      <c r="BA32" s="1816"/>
      <c r="BB32" s="1816"/>
      <c r="BC32" s="1816"/>
      <c r="BD32" s="1816"/>
      <c r="BE32" s="1816"/>
      <c r="BF32" s="1816"/>
      <c r="BG32" s="1816"/>
      <c r="BH32" s="1816"/>
      <c r="BI32" s="1816"/>
      <c r="BJ32" s="1816"/>
      <c r="BK32" s="1822"/>
      <c r="BL32" s="253"/>
      <c r="BM32" s="253"/>
    </row>
    <row r="33" spans="2:65" ht="12.75" hidden="1" customHeight="1">
      <c r="B33" s="1815"/>
      <c r="C33" s="1816"/>
      <c r="D33" s="1816"/>
      <c r="E33" s="1816"/>
      <c r="F33" s="1816"/>
      <c r="G33" s="1816"/>
      <c r="H33" s="1816"/>
      <c r="I33" s="1816"/>
      <c r="J33" s="1816"/>
      <c r="K33" s="1816"/>
      <c r="L33" s="1816"/>
      <c r="M33" s="1816"/>
      <c r="N33" s="1816"/>
      <c r="O33" s="1816"/>
      <c r="P33" s="1816"/>
      <c r="Q33" s="1816"/>
      <c r="R33" s="1816"/>
      <c r="S33" s="1816"/>
      <c r="T33" s="1816"/>
      <c r="U33" s="1816"/>
      <c r="V33" s="1816"/>
      <c r="W33" s="1816"/>
      <c r="X33" s="1816"/>
      <c r="Y33" s="1816"/>
      <c r="Z33" s="1816"/>
      <c r="AA33" s="1816"/>
      <c r="AB33" s="1816"/>
      <c r="AC33" s="1816"/>
      <c r="AD33" s="1816"/>
      <c r="AE33" s="1816"/>
      <c r="AF33" s="1816"/>
      <c r="AG33" s="1817"/>
      <c r="AH33" s="1815"/>
      <c r="AI33" s="1816"/>
      <c r="AJ33" s="1816"/>
      <c r="AK33" s="1816"/>
      <c r="AL33" s="1816"/>
      <c r="AM33" s="1816"/>
      <c r="AN33" s="1816"/>
      <c r="AO33" s="1816"/>
      <c r="AP33" s="1816"/>
      <c r="AQ33" s="1816"/>
      <c r="AR33" s="1816"/>
      <c r="AS33" s="1816"/>
      <c r="AT33" s="1816"/>
      <c r="AU33" s="1816"/>
      <c r="AV33" s="1816"/>
      <c r="AW33" s="1816"/>
      <c r="AX33" s="1816"/>
      <c r="AY33" s="1816"/>
      <c r="AZ33" s="1816"/>
      <c r="BA33" s="1816"/>
      <c r="BB33" s="1816"/>
      <c r="BC33" s="1816"/>
      <c r="BD33" s="1816"/>
      <c r="BE33" s="1816"/>
      <c r="BF33" s="1816"/>
      <c r="BG33" s="1816"/>
      <c r="BH33" s="1816"/>
      <c r="BI33" s="1816"/>
      <c r="BJ33" s="1816"/>
      <c r="BK33" s="1822"/>
      <c r="BL33" s="253"/>
      <c r="BM33" s="253"/>
    </row>
    <row r="34" spans="2:65" ht="12.75" hidden="1" customHeight="1">
      <c r="B34" s="1815"/>
      <c r="C34" s="1816"/>
      <c r="D34" s="1816"/>
      <c r="E34" s="1816"/>
      <c r="F34" s="1816"/>
      <c r="G34" s="1816"/>
      <c r="H34" s="1816"/>
      <c r="I34" s="1816"/>
      <c r="J34" s="1816"/>
      <c r="K34" s="1816"/>
      <c r="L34" s="1816"/>
      <c r="M34" s="1816"/>
      <c r="N34" s="1816"/>
      <c r="O34" s="1816"/>
      <c r="P34" s="1816"/>
      <c r="Q34" s="1816"/>
      <c r="R34" s="1816"/>
      <c r="S34" s="1816"/>
      <c r="T34" s="1816"/>
      <c r="U34" s="1816"/>
      <c r="V34" s="1816"/>
      <c r="W34" s="1816"/>
      <c r="X34" s="1816"/>
      <c r="Y34" s="1816"/>
      <c r="Z34" s="1816"/>
      <c r="AA34" s="1816"/>
      <c r="AB34" s="1816"/>
      <c r="AC34" s="1816"/>
      <c r="AD34" s="1816"/>
      <c r="AE34" s="1816"/>
      <c r="AF34" s="1816"/>
      <c r="AG34" s="1817"/>
      <c r="AH34" s="1815"/>
      <c r="AI34" s="1816"/>
      <c r="AJ34" s="1816"/>
      <c r="AK34" s="1816"/>
      <c r="AL34" s="1816"/>
      <c r="AM34" s="1816"/>
      <c r="AN34" s="1816"/>
      <c r="AO34" s="1816"/>
      <c r="AP34" s="1816"/>
      <c r="AQ34" s="1816"/>
      <c r="AR34" s="1816"/>
      <c r="AS34" s="1816"/>
      <c r="AT34" s="1816"/>
      <c r="AU34" s="1816"/>
      <c r="AV34" s="1816"/>
      <c r="AW34" s="1816"/>
      <c r="AX34" s="1816"/>
      <c r="AY34" s="1816"/>
      <c r="AZ34" s="1816"/>
      <c r="BA34" s="1816"/>
      <c r="BB34" s="1816"/>
      <c r="BC34" s="1816"/>
      <c r="BD34" s="1816"/>
      <c r="BE34" s="1816"/>
      <c r="BF34" s="1816"/>
      <c r="BG34" s="1816"/>
      <c r="BH34" s="1816"/>
      <c r="BI34" s="1816"/>
      <c r="BJ34" s="1816"/>
      <c r="BK34" s="1822"/>
      <c r="BL34" s="253"/>
      <c r="BM34" s="253"/>
    </row>
    <row r="35" spans="2:65" ht="12.75" hidden="1" customHeight="1">
      <c r="B35" s="1815"/>
      <c r="C35" s="1816"/>
      <c r="D35" s="1816"/>
      <c r="E35" s="1816"/>
      <c r="F35" s="1816"/>
      <c r="G35" s="1816"/>
      <c r="H35" s="1816"/>
      <c r="I35" s="1816"/>
      <c r="J35" s="1816"/>
      <c r="K35" s="1816"/>
      <c r="L35" s="1816"/>
      <c r="M35" s="1816"/>
      <c r="N35" s="1816"/>
      <c r="O35" s="1816"/>
      <c r="P35" s="1816"/>
      <c r="Q35" s="1816"/>
      <c r="R35" s="1816"/>
      <c r="S35" s="1816"/>
      <c r="T35" s="1816"/>
      <c r="U35" s="1816"/>
      <c r="V35" s="1816"/>
      <c r="W35" s="1816"/>
      <c r="X35" s="1816"/>
      <c r="Y35" s="1816"/>
      <c r="Z35" s="1816"/>
      <c r="AA35" s="1816"/>
      <c r="AB35" s="1816"/>
      <c r="AC35" s="1816"/>
      <c r="AD35" s="1816"/>
      <c r="AE35" s="1816"/>
      <c r="AF35" s="1816"/>
      <c r="AG35" s="1817"/>
      <c r="AH35" s="1815"/>
      <c r="AI35" s="1816"/>
      <c r="AJ35" s="1816"/>
      <c r="AK35" s="1816"/>
      <c r="AL35" s="1816"/>
      <c r="AM35" s="1816"/>
      <c r="AN35" s="1816"/>
      <c r="AO35" s="1816"/>
      <c r="AP35" s="1816"/>
      <c r="AQ35" s="1816"/>
      <c r="AR35" s="1816"/>
      <c r="AS35" s="1816"/>
      <c r="AT35" s="1816"/>
      <c r="AU35" s="1816"/>
      <c r="AV35" s="1816"/>
      <c r="AW35" s="1816"/>
      <c r="AX35" s="1816"/>
      <c r="AY35" s="1816"/>
      <c r="AZ35" s="1816"/>
      <c r="BA35" s="1816"/>
      <c r="BB35" s="1816"/>
      <c r="BC35" s="1816"/>
      <c r="BD35" s="1816"/>
      <c r="BE35" s="1816"/>
      <c r="BF35" s="1816"/>
      <c r="BG35" s="1816"/>
      <c r="BH35" s="1816"/>
      <c r="BI35" s="1816"/>
      <c r="BJ35" s="1816"/>
      <c r="BK35" s="1822"/>
      <c r="BL35" s="253"/>
      <c r="BM35" s="253"/>
    </row>
    <row r="36" spans="2:65" ht="12.75" hidden="1" customHeight="1">
      <c r="B36" s="1815"/>
      <c r="C36" s="1816"/>
      <c r="D36" s="1816"/>
      <c r="E36" s="1816"/>
      <c r="F36" s="1816"/>
      <c r="G36" s="1816"/>
      <c r="H36" s="1816"/>
      <c r="I36" s="1816"/>
      <c r="J36" s="1816"/>
      <c r="K36" s="1816"/>
      <c r="L36" s="1816"/>
      <c r="M36" s="1816"/>
      <c r="N36" s="1816"/>
      <c r="O36" s="1816"/>
      <c r="P36" s="1816"/>
      <c r="Q36" s="1816"/>
      <c r="R36" s="1816"/>
      <c r="S36" s="1816"/>
      <c r="T36" s="1816"/>
      <c r="U36" s="1816"/>
      <c r="V36" s="1816"/>
      <c r="W36" s="1816"/>
      <c r="X36" s="1816"/>
      <c r="Y36" s="1816"/>
      <c r="Z36" s="1816"/>
      <c r="AA36" s="1816"/>
      <c r="AB36" s="1816"/>
      <c r="AC36" s="1816"/>
      <c r="AD36" s="1816"/>
      <c r="AE36" s="1816"/>
      <c r="AF36" s="1816"/>
      <c r="AG36" s="1817"/>
      <c r="AH36" s="1815"/>
      <c r="AI36" s="1816"/>
      <c r="AJ36" s="1816"/>
      <c r="AK36" s="1816"/>
      <c r="AL36" s="1816"/>
      <c r="AM36" s="1816"/>
      <c r="AN36" s="1816"/>
      <c r="AO36" s="1816"/>
      <c r="AP36" s="1816"/>
      <c r="AQ36" s="1816"/>
      <c r="AR36" s="1816"/>
      <c r="AS36" s="1816"/>
      <c r="AT36" s="1816"/>
      <c r="AU36" s="1816"/>
      <c r="AV36" s="1816"/>
      <c r="AW36" s="1816"/>
      <c r="AX36" s="1816"/>
      <c r="AY36" s="1816"/>
      <c r="AZ36" s="1816"/>
      <c r="BA36" s="1816"/>
      <c r="BB36" s="1816"/>
      <c r="BC36" s="1816"/>
      <c r="BD36" s="1816"/>
      <c r="BE36" s="1816"/>
      <c r="BF36" s="1816"/>
      <c r="BG36" s="1816"/>
      <c r="BH36" s="1816"/>
      <c r="BI36" s="1816"/>
      <c r="BJ36" s="1816"/>
      <c r="BK36" s="1822"/>
      <c r="BL36" s="253"/>
      <c r="BM36" s="253"/>
    </row>
    <row r="37" spans="2:65" ht="12.75" hidden="1" customHeight="1">
      <c r="B37" s="1815"/>
      <c r="C37" s="1816"/>
      <c r="D37" s="1816"/>
      <c r="E37" s="1816"/>
      <c r="F37" s="1816"/>
      <c r="G37" s="1816"/>
      <c r="H37" s="1816"/>
      <c r="I37" s="1816"/>
      <c r="J37" s="1816"/>
      <c r="K37" s="1816"/>
      <c r="L37" s="1816"/>
      <c r="M37" s="1816"/>
      <c r="N37" s="1816"/>
      <c r="O37" s="1816"/>
      <c r="P37" s="1816"/>
      <c r="Q37" s="1816"/>
      <c r="R37" s="1816"/>
      <c r="S37" s="1816"/>
      <c r="T37" s="1816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1815"/>
      <c r="AI37" s="1816"/>
      <c r="AJ37" s="1816"/>
      <c r="AK37" s="1816"/>
      <c r="AL37" s="1816"/>
      <c r="AM37" s="1816"/>
      <c r="AN37" s="1816"/>
      <c r="AO37" s="1816"/>
      <c r="AP37" s="1816"/>
      <c r="AQ37" s="1816"/>
      <c r="AR37" s="1816"/>
      <c r="AS37" s="1816"/>
      <c r="AT37" s="1816"/>
      <c r="AU37" s="1816"/>
      <c r="AV37" s="1816"/>
      <c r="AW37" s="1816"/>
      <c r="AX37" s="1816"/>
      <c r="AY37" s="1816"/>
      <c r="AZ37" s="1816"/>
      <c r="BA37" s="1816"/>
      <c r="BB37" s="1816"/>
      <c r="BC37" s="1816"/>
      <c r="BD37" s="1816"/>
      <c r="BE37" s="1816"/>
      <c r="BF37" s="1816"/>
      <c r="BG37" s="1816"/>
      <c r="BH37" s="1816"/>
      <c r="BI37" s="1816"/>
      <c r="BJ37" s="1816"/>
      <c r="BK37" s="1822"/>
      <c r="BL37" s="253"/>
      <c r="BM37" s="253"/>
    </row>
    <row r="38" spans="2:65" ht="12.75" hidden="1" customHeight="1">
      <c r="B38" s="1815"/>
      <c r="C38" s="1816"/>
      <c r="D38" s="1816"/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6"/>
      <c r="Q38" s="1816"/>
      <c r="R38" s="1816"/>
      <c r="S38" s="1816"/>
      <c r="T38" s="1816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1815"/>
      <c r="AI38" s="1816"/>
      <c r="AJ38" s="1816"/>
      <c r="AK38" s="1816"/>
      <c r="AL38" s="1816"/>
      <c r="AM38" s="1816"/>
      <c r="AN38" s="1816"/>
      <c r="AO38" s="1816"/>
      <c r="AP38" s="1816"/>
      <c r="AQ38" s="1816"/>
      <c r="AR38" s="1816"/>
      <c r="AS38" s="1816"/>
      <c r="AT38" s="1816"/>
      <c r="AU38" s="1816"/>
      <c r="AV38" s="1816"/>
      <c r="AW38" s="1816"/>
      <c r="AX38" s="1816"/>
      <c r="AY38" s="1816"/>
      <c r="AZ38" s="1816"/>
      <c r="BA38" s="1816"/>
      <c r="BB38" s="1816"/>
      <c r="BC38" s="1816"/>
      <c r="BD38" s="1816"/>
      <c r="BE38" s="1816"/>
      <c r="BF38" s="1816"/>
      <c r="BG38" s="1816"/>
      <c r="BH38" s="1816"/>
      <c r="BI38" s="1816"/>
      <c r="BJ38" s="1816"/>
      <c r="BK38" s="1822"/>
      <c r="BL38" s="253"/>
      <c r="BM38" s="253"/>
    </row>
    <row r="39" spans="2:65" ht="12.75" customHeight="1">
      <c r="B39" s="1815"/>
      <c r="C39" s="1816"/>
      <c r="D39" s="1816"/>
      <c r="E39" s="1816"/>
      <c r="F39" s="1816"/>
      <c r="G39" s="1816"/>
      <c r="H39" s="1816"/>
      <c r="I39" s="1816"/>
      <c r="J39" s="1816"/>
      <c r="K39" s="1816"/>
      <c r="L39" s="1816"/>
      <c r="M39" s="1816"/>
      <c r="N39" s="1816"/>
      <c r="O39" s="1816"/>
      <c r="P39" s="1816"/>
      <c r="Q39" s="1816"/>
      <c r="R39" s="1816"/>
      <c r="S39" s="1816"/>
      <c r="T39" s="1816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1815"/>
      <c r="AI39" s="1816"/>
      <c r="AJ39" s="1816"/>
      <c r="AK39" s="1816"/>
      <c r="AL39" s="1816"/>
      <c r="AM39" s="1816"/>
      <c r="AN39" s="1816"/>
      <c r="AO39" s="1816"/>
      <c r="AP39" s="1816"/>
      <c r="AQ39" s="1816"/>
      <c r="AR39" s="1816"/>
      <c r="AS39" s="1816"/>
      <c r="AT39" s="1816"/>
      <c r="AU39" s="1816"/>
      <c r="AV39" s="1816"/>
      <c r="AW39" s="1816"/>
      <c r="AX39" s="1816"/>
      <c r="AY39" s="1816"/>
      <c r="AZ39" s="1816"/>
      <c r="BA39" s="1816"/>
      <c r="BB39" s="1816"/>
      <c r="BC39" s="1816"/>
      <c r="BD39" s="1816"/>
      <c r="BE39" s="1816"/>
      <c r="BF39" s="1816"/>
      <c r="BG39" s="1816"/>
      <c r="BH39" s="1816"/>
      <c r="BI39" s="1816"/>
      <c r="BJ39" s="1816"/>
      <c r="BK39" s="1822"/>
      <c r="BL39" s="253"/>
      <c r="BM39" s="253"/>
    </row>
    <row r="40" spans="2:65" ht="13.5" customHeight="1" thickBot="1">
      <c r="B40" s="1818"/>
      <c r="C40" s="1819"/>
      <c r="D40" s="1819"/>
      <c r="E40" s="1819"/>
      <c r="F40" s="1819"/>
      <c r="G40" s="1819"/>
      <c r="H40" s="1819"/>
      <c r="I40" s="1819"/>
      <c r="J40" s="1819"/>
      <c r="K40" s="1819"/>
      <c r="L40" s="1819"/>
      <c r="M40" s="1819"/>
      <c r="N40" s="1819"/>
      <c r="O40" s="1819"/>
      <c r="P40" s="1819"/>
      <c r="Q40" s="1819"/>
      <c r="R40" s="1819"/>
      <c r="S40" s="1819"/>
      <c r="T40" s="1819"/>
      <c r="U40" s="1819"/>
      <c r="V40" s="1819"/>
      <c r="W40" s="1819"/>
      <c r="X40" s="1819"/>
      <c r="Y40" s="1819"/>
      <c r="Z40" s="1819"/>
      <c r="AA40" s="1819"/>
      <c r="AB40" s="1819"/>
      <c r="AC40" s="1819"/>
      <c r="AD40" s="1819"/>
      <c r="AE40" s="1819"/>
      <c r="AF40" s="1819"/>
      <c r="AG40" s="1820"/>
      <c r="AH40" s="1818"/>
      <c r="AI40" s="1819"/>
      <c r="AJ40" s="1819"/>
      <c r="AK40" s="1819"/>
      <c r="AL40" s="1819"/>
      <c r="AM40" s="1819"/>
      <c r="AN40" s="1819"/>
      <c r="AO40" s="1819"/>
      <c r="AP40" s="1819"/>
      <c r="AQ40" s="1819"/>
      <c r="AR40" s="1819"/>
      <c r="AS40" s="1819"/>
      <c r="AT40" s="1819"/>
      <c r="AU40" s="1819"/>
      <c r="AV40" s="1819"/>
      <c r="AW40" s="1819"/>
      <c r="AX40" s="1819"/>
      <c r="AY40" s="1819"/>
      <c r="AZ40" s="1819"/>
      <c r="BA40" s="1819"/>
      <c r="BB40" s="1819"/>
      <c r="BC40" s="1819"/>
      <c r="BD40" s="1819"/>
      <c r="BE40" s="1819"/>
      <c r="BF40" s="1819"/>
      <c r="BG40" s="1819"/>
      <c r="BH40" s="1819"/>
      <c r="BI40" s="1819"/>
      <c r="BJ40" s="1819"/>
      <c r="BK40" s="1823"/>
      <c r="BL40" s="253"/>
      <c r="BM40" s="253"/>
    </row>
    <row r="42" spans="2:65"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</row>
    <row r="43" spans="2:65"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</row>
    <row r="44" spans="2:65" ht="6" customHeight="1"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</row>
    <row r="45" spans="2:65"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</row>
    <row r="46" spans="2:65" ht="14.25">
      <c r="AQ46" s="502" t="s">
        <v>464</v>
      </c>
      <c r="AR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2"/>
      <c r="BE46" s="502"/>
    </row>
    <row r="47" spans="2:65">
      <c r="AQ47" s="506"/>
      <c r="AR47" s="871" t="s">
        <v>499</v>
      </c>
      <c r="AS47" s="507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</row>
    <row r="48" spans="2:65" ht="14.25">
      <c r="AQ48" s="502"/>
      <c r="AR48" s="502"/>
      <c r="AS48" s="501" t="str">
        <f>DATOS!$G$18</f>
        <v>#</v>
      </c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</row>
    <row r="49" spans="43:58" ht="14.25">
      <c r="AQ49" s="502"/>
      <c r="AR49" s="503"/>
      <c r="AS49" s="501" t="str">
        <f>DATOS!$G$20</f>
        <v>#</v>
      </c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</row>
    <row r="50" spans="43:58" ht="14.25">
      <c r="AQ50" s="502"/>
      <c r="AR50" s="502"/>
      <c r="AS50" s="509" t="str">
        <f>DATOS!$G$21</f>
        <v>#</v>
      </c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</row>
    <row r="51" spans="43:58" ht="14.25">
      <c r="AQ51" s="502"/>
      <c r="AR51" s="502"/>
      <c r="AS51" s="501" t="str">
        <f>DATOS!$G$19</f>
        <v>#</v>
      </c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</row>
    <row r="52" spans="43:58" ht="14.25">
      <c r="AQ52" s="541"/>
      <c r="AR52" s="541"/>
      <c r="AS52" s="541" t="str">
        <f>DATOS!$G$23</f>
        <v>#</v>
      </c>
      <c r="AT52" s="541"/>
      <c r="AU52" s="541"/>
      <c r="AV52" s="541"/>
      <c r="AW52" s="501"/>
      <c r="AX52" s="504"/>
      <c r="AZ52" s="501"/>
      <c r="BA52" s="503"/>
      <c r="BB52" s="504" t="str">
        <f>DATOS!$G$24</f>
        <v>#</v>
      </c>
      <c r="BC52" s="503"/>
      <c r="BE52" s="1804"/>
      <c r="BF52" s="1804"/>
    </row>
  </sheetData>
  <sheetProtection sheet="1" objects="1" scenarios="1"/>
  <mergeCells count="15">
    <mergeCell ref="B2:BK2"/>
    <mergeCell ref="G3:AQ3"/>
    <mergeCell ref="AX3:BJ3"/>
    <mergeCell ref="B4:F4"/>
    <mergeCell ref="W4:Y4"/>
    <mergeCell ref="Z4:AB4"/>
    <mergeCell ref="AC4:AO4"/>
    <mergeCell ref="AQ4:AS4"/>
    <mergeCell ref="AW4:BK4"/>
    <mergeCell ref="BE52:BF52"/>
    <mergeCell ref="B6:BK6"/>
    <mergeCell ref="B7:AG7"/>
    <mergeCell ref="AH7:BK7"/>
    <mergeCell ref="B8:AG40"/>
    <mergeCell ref="AH8:BK40"/>
  </mergeCells>
  <pageMargins left="0" right="0" top="0.94488188976377963" bottom="0" header="0.31496062992125984" footer="0.31496062992125984"/>
  <pageSetup paperSize="9" scale="62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BE30"/>
  <sheetViews>
    <sheetView zoomScale="40" zoomScaleNormal="40" workbookViewId="0">
      <selection activeCell="BI12" sqref="BI12"/>
    </sheetView>
  </sheetViews>
  <sheetFormatPr baseColWidth="10" defaultColWidth="9.140625" defaultRowHeight="12.75"/>
  <cols>
    <col min="1" max="10" width="2" customWidth="1"/>
    <col min="11" max="16" width="1.7109375" customWidth="1"/>
    <col min="17" max="17" width="2.28515625" customWidth="1"/>
    <col min="18" max="18" width="2" customWidth="1"/>
    <col min="19" max="20" width="3.42578125" customWidth="1"/>
    <col min="21" max="21" width="1.7109375" customWidth="1"/>
    <col min="22" max="23" width="3.42578125" customWidth="1"/>
    <col min="24" max="28" width="1.7109375" customWidth="1"/>
    <col min="29" max="29" width="2.140625" customWidth="1"/>
    <col min="30" max="35" width="1.7109375" customWidth="1"/>
    <col min="36" max="57" width="2.140625" customWidth="1"/>
    <col min="58" max="256" width="11.42578125" customWidth="1"/>
  </cols>
  <sheetData>
    <row r="1" spans="2:57" ht="13.5" thickBot="1"/>
    <row r="2" spans="2:57" s="484" customFormat="1" ht="18">
      <c r="B2" s="1840" t="s">
        <v>673</v>
      </c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1841"/>
      <c r="Z2" s="1841"/>
      <c r="AA2" s="1841"/>
      <c r="AB2" s="1841"/>
      <c r="AC2" s="1841"/>
      <c r="AD2" s="1841"/>
      <c r="AE2" s="1841"/>
      <c r="AF2" s="1841"/>
      <c r="AG2" s="1841"/>
      <c r="AH2" s="1841"/>
      <c r="AI2" s="1841"/>
      <c r="AJ2" s="1841"/>
      <c r="AK2" s="1841"/>
      <c r="AL2" s="1841"/>
      <c r="AM2" s="1841"/>
      <c r="AN2" s="1841"/>
      <c r="AO2" s="1841"/>
      <c r="AP2" s="1841"/>
      <c r="AQ2" s="1841"/>
      <c r="AR2" s="1841"/>
      <c r="AS2" s="1841"/>
      <c r="AT2" s="1841"/>
      <c r="AU2" s="1841"/>
      <c r="AV2" s="1841"/>
      <c r="AW2" s="1841"/>
      <c r="AX2" s="1841"/>
      <c r="AY2" s="1841"/>
      <c r="AZ2" s="1841"/>
      <c r="BA2" s="1841"/>
      <c r="BB2" s="1841"/>
      <c r="BC2" s="1841"/>
      <c r="BD2" s="1841"/>
      <c r="BE2" s="1842"/>
    </row>
    <row r="3" spans="2:57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469</v>
      </c>
      <c r="C4" s="253"/>
      <c r="D4" s="253"/>
      <c r="E4" s="253"/>
      <c r="F4" s="253"/>
      <c r="G4" s="253"/>
      <c r="H4" s="1843" t="str">
        <f>DATOS!$G$7</f>
        <v>#</v>
      </c>
      <c r="I4" s="1843"/>
      <c r="J4" s="1843"/>
      <c r="K4" s="1843"/>
      <c r="L4" s="1843"/>
      <c r="M4" s="1843"/>
      <c r="N4" s="1843"/>
      <c r="O4" s="1843"/>
      <c r="P4" s="1843"/>
      <c r="Q4" s="1843"/>
      <c r="R4" s="1843"/>
      <c r="S4" s="1843"/>
      <c r="T4" s="1843"/>
      <c r="U4" s="1843"/>
      <c r="V4" s="1843"/>
      <c r="W4" s="1843"/>
      <c r="X4" s="1843"/>
      <c r="Y4" s="1843"/>
      <c r="Z4" s="1843"/>
      <c r="AA4" s="1843"/>
      <c r="AB4" s="1843"/>
      <c r="AC4" s="1843"/>
      <c r="AD4" s="1843"/>
      <c r="AE4" s="1843"/>
      <c r="AF4" s="1843"/>
      <c r="AG4" s="1843"/>
      <c r="AH4" s="1843"/>
      <c r="AI4" s="1843"/>
      <c r="AJ4" s="1843"/>
      <c r="AK4" s="1843"/>
      <c r="AL4" s="1843"/>
      <c r="AM4" s="1843"/>
      <c r="AN4" s="253" t="s">
        <v>298</v>
      </c>
      <c r="AO4" s="253"/>
      <c r="AP4" s="253"/>
      <c r="AQ4" s="1844" t="str">
        <f>DATOS!$G$8</f>
        <v>#</v>
      </c>
      <c r="AR4" s="1844"/>
      <c r="AS4" s="1844"/>
      <c r="AT4" s="1844"/>
      <c r="AU4" s="1844"/>
      <c r="AV4" s="1844"/>
      <c r="AW4" s="1844"/>
      <c r="AX4" s="1844"/>
      <c r="AY4" s="1844"/>
      <c r="AZ4" s="1844"/>
      <c r="BA4" s="1844"/>
      <c r="BB4" s="1844"/>
      <c r="BC4" s="1844"/>
      <c r="BD4" s="1844"/>
      <c r="BE4" s="444"/>
    </row>
    <row r="5" spans="2:57" ht="15">
      <c r="B5" s="443" t="s">
        <v>450</v>
      </c>
      <c r="C5" s="253"/>
      <c r="D5" s="253"/>
      <c r="E5" s="253"/>
      <c r="F5" s="253"/>
      <c r="G5" s="1844" t="str">
        <f>DATOS!$G$27</f>
        <v>#</v>
      </c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96" t="s">
        <v>378</v>
      </c>
      <c r="Y5" s="96"/>
      <c r="Z5" s="1844" t="str">
        <f>DATOS!$G$28</f>
        <v>#</v>
      </c>
      <c r="AA5" s="1844"/>
      <c r="AB5" s="1844"/>
      <c r="AC5" s="1844"/>
      <c r="AD5" s="253" t="s">
        <v>448</v>
      </c>
      <c r="AE5" s="253"/>
      <c r="AF5" s="253"/>
      <c r="AG5" s="253"/>
      <c r="AH5" s="253"/>
      <c r="AI5" s="1844" t="str">
        <f>DATOS!$G$29</f>
        <v>#</v>
      </c>
      <c r="AJ5" s="1844"/>
      <c r="AK5" s="1844"/>
      <c r="AL5" s="1844"/>
      <c r="AM5" s="1844"/>
      <c r="AN5" s="1844"/>
      <c r="AO5" s="1844"/>
      <c r="AP5" s="1844"/>
      <c r="AQ5" s="1844"/>
      <c r="AR5" s="1844"/>
      <c r="AS5" s="1844"/>
      <c r="AT5" s="1844"/>
      <c r="AU5" s="1844"/>
      <c r="AV5" s="253" t="s">
        <v>503</v>
      </c>
      <c r="AW5" s="253"/>
      <c r="AX5" s="253"/>
      <c r="AY5" s="1844" t="str">
        <f>DATOS!$G$30</f>
        <v>#</v>
      </c>
      <c r="AZ5" s="1844"/>
      <c r="BA5" s="1844"/>
      <c r="BB5" s="1844"/>
      <c r="BC5" s="1844"/>
      <c r="BD5" s="1844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504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837"/>
      <c r="C8" s="1835"/>
      <c r="D8" s="1835"/>
      <c r="E8" s="1835"/>
      <c r="F8" s="1835"/>
      <c r="G8" s="1835"/>
      <c r="H8" s="1835"/>
      <c r="I8" s="1835"/>
      <c r="J8" s="1835"/>
      <c r="K8" s="1429"/>
      <c r="L8" s="1429"/>
      <c r="M8" s="1429"/>
      <c r="N8" s="1429"/>
      <c r="O8" s="1429"/>
      <c r="P8" s="1429"/>
      <c r="Q8" s="1429"/>
      <c r="R8" s="1429"/>
      <c r="S8" s="1429"/>
      <c r="T8" s="1839"/>
      <c r="U8" s="1839"/>
      <c r="V8" s="1839"/>
      <c r="W8" s="1839"/>
      <c r="X8" s="1839"/>
      <c r="Y8" s="1839"/>
      <c r="Z8" s="1839"/>
      <c r="AA8" s="1839"/>
      <c r="AB8" s="1839"/>
      <c r="AC8" s="1835"/>
      <c r="AD8" s="1835"/>
      <c r="AE8" s="1835"/>
      <c r="AF8" s="1835"/>
      <c r="AG8" s="1835"/>
      <c r="AH8" s="1835"/>
      <c r="AI8" s="1835"/>
      <c r="AJ8" s="1835"/>
      <c r="AK8" s="1835"/>
      <c r="AL8" s="1835"/>
      <c r="AM8" s="1835"/>
      <c r="AN8" s="1835"/>
      <c r="AO8" s="1835"/>
      <c r="AP8" s="1835"/>
      <c r="AQ8" s="1835"/>
      <c r="AR8" s="1835"/>
      <c r="AS8" s="1835"/>
      <c r="AT8" s="1835"/>
      <c r="AU8" s="1835"/>
      <c r="AV8" s="1835"/>
      <c r="AW8" s="1835"/>
      <c r="AX8" s="1835"/>
      <c r="AY8" s="1835"/>
      <c r="AZ8" s="1835"/>
      <c r="BA8" s="1835"/>
      <c r="BB8" s="1835"/>
      <c r="BC8" s="1835"/>
      <c r="BD8" s="525"/>
      <c r="BE8" s="526"/>
    </row>
    <row r="9" spans="2:57" ht="62.25" customHeight="1">
      <c r="B9" s="1837"/>
      <c r="C9" s="1835"/>
      <c r="D9" s="1835"/>
      <c r="E9" s="1835"/>
      <c r="F9" s="1835"/>
      <c r="G9" s="1835"/>
      <c r="H9" s="1835"/>
      <c r="I9" s="1835"/>
      <c r="J9" s="1835"/>
      <c r="K9" s="1429"/>
      <c r="L9" s="1429"/>
      <c r="M9" s="1429"/>
      <c r="N9" s="1429"/>
      <c r="O9" s="1429"/>
      <c r="P9" s="1429"/>
      <c r="Q9" s="1429"/>
      <c r="R9" s="1429"/>
      <c r="S9" s="1429"/>
      <c r="T9" s="1839"/>
      <c r="U9" s="1839"/>
      <c r="V9" s="1839"/>
      <c r="W9" s="1839"/>
      <c r="X9" s="1839"/>
      <c r="Y9" s="1839"/>
      <c r="Z9" s="1839"/>
      <c r="AA9" s="1839"/>
      <c r="AB9" s="1839"/>
      <c r="AC9" s="1835"/>
      <c r="AD9" s="1835"/>
      <c r="AE9" s="1835"/>
      <c r="AF9" s="1835"/>
      <c r="AG9" s="1835"/>
      <c r="AH9" s="1835"/>
      <c r="AI9" s="1835"/>
      <c r="AJ9" s="1835"/>
      <c r="AK9" s="1835"/>
      <c r="AL9" s="1835"/>
      <c r="AM9" s="1835"/>
      <c r="AN9" s="1835"/>
      <c r="AO9" s="1835"/>
      <c r="AP9" s="1835"/>
      <c r="AQ9" s="1835"/>
      <c r="AR9" s="1835"/>
      <c r="AS9" s="1835"/>
      <c r="AT9" s="1835"/>
      <c r="AU9" s="1835"/>
      <c r="AV9" s="1835"/>
      <c r="AW9" s="1835"/>
      <c r="AX9" s="1835"/>
      <c r="AY9" s="1835"/>
      <c r="AZ9" s="1835"/>
      <c r="BA9" s="1835"/>
      <c r="BB9" s="1835"/>
      <c r="BC9" s="1835"/>
      <c r="BD9" s="525"/>
      <c r="BE9" s="526"/>
    </row>
    <row r="10" spans="2:57" ht="62.25" customHeight="1">
      <c r="B10" s="1836"/>
      <c r="C10" s="1429"/>
      <c r="D10" s="1429"/>
      <c r="E10" s="1429"/>
      <c r="F10" s="1429"/>
      <c r="G10" s="1429"/>
      <c r="H10" s="1429"/>
      <c r="I10" s="1429"/>
      <c r="J10" s="1429"/>
      <c r="K10" s="1838"/>
      <c r="L10" s="1838"/>
      <c r="M10" s="1838"/>
      <c r="N10" s="1838"/>
      <c r="O10" s="1838"/>
      <c r="P10" s="1838"/>
      <c r="Q10" s="1838"/>
      <c r="R10" s="1838"/>
      <c r="S10" s="1838"/>
      <c r="T10" s="1838"/>
      <c r="U10" s="1838"/>
      <c r="V10" s="1838"/>
      <c r="W10" s="1838"/>
      <c r="X10" s="1838"/>
      <c r="Y10" s="1838"/>
      <c r="Z10" s="1838"/>
      <c r="AA10" s="1838"/>
      <c r="AB10" s="1838"/>
      <c r="AC10" s="1838"/>
      <c r="AD10" s="1838"/>
      <c r="AE10" s="1838"/>
      <c r="AF10" s="1838"/>
      <c r="AG10" s="1838"/>
      <c r="AH10" s="1838"/>
      <c r="AI10" s="1838"/>
      <c r="AJ10" s="1838"/>
      <c r="AK10" s="1838"/>
      <c r="AL10" s="1838"/>
      <c r="AM10" s="1838"/>
      <c r="AN10" s="1838"/>
      <c r="AO10" s="1838"/>
      <c r="AP10" s="1838"/>
      <c r="AQ10" s="1838"/>
      <c r="AR10" s="1838"/>
      <c r="AS10" s="1838"/>
      <c r="AT10" s="1838"/>
      <c r="AU10" s="1429"/>
      <c r="AV10" s="1429"/>
      <c r="AW10" s="1429"/>
      <c r="AX10" s="1429"/>
      <c r="AY10" s="1429"/>
      <c r="AZ10" s="1429"/>
      <c r="BA10" s="1429"/>
      <c r="BB10" s="1429"/>
      <c r="BC10" s="1429"/>
      <c r="BD10" s="525"/>
      <c r="BE10" s="526"/>
    </row>
    <row r="11" spans="2:57" ht="62.25" customHeight="1">
      <c r="B11" s="1836"/>
      <c r="C11" s="1429"/>
      <c r="D11" s="1429"/>
      <c r="E11" s="1429"/>
      <c r="F11" s="1429"/>
      <c r="G11" s="1429"/>
      <c r="H11" s="1429"/>
      <c r="I11" s="1429"/>
      <c r="J11" s="1429"/>
      <c r="K11" s="1838"/>
      <c r="L11" s="1838"/>
      <c r="M11" s="1838"/>
      <c r="N11" s="1838"/>
      <c r="O11" s="1838"/>
      <c r="P11" s="1838"/>
      <c r="Q11" s="1838"/>
      <c r="R11" s="1838"/>
      <c r="S11" s="1838"/>
      <c r="T11" s="1838"/>
      <c r="U11" s="1838"/>
      <c r="V11" s="1838"/>
      <c r="W11" s="1838"/>
      <c r="X11" s="1838"/>
      <c r="Y11" s="1838"/>
      <c r="Z11" s="1838"/>
      <c r="AA11" s="1838"/>
      <c r="AB11" s="1838"/>
      <c r="AC11" s="1838"/>
      <c r="AD11" s="1838"/>
      <c r="AE11" s="1838"/>
      <c r="AF11" s="1838"/>
      <c r="AG11" s="1838"/>
      <c r="AH11" s="1838"/>
      <c r="AI11" s="1838"/>
      <c r="AJ11" s="1838"/>
      <c r="AK11" s="1838"/>
      <c r="AL11" s="1838"/>
      <c r="AM11" s="1838"/>
      <c r="AN11" s="1838"/>
      <c r="AO11" s="1838"/>
      <c r="AP11" s="1838"/>
      <c r="AQ11" s="1838"/>
      <c r="AR11" s="1838"/>
      <c r="AS11" s="1838"/>
      <c r="AT11" s="1838"/>
      <c r="AU11" s="1429"/>
      <c r="AV11" s="1429"/>
      <c r="AW11" s="1429"/>
      <c r="AX11" s="1429"/>
      <c r="AY11" s="1429"/>
      <c r="AZ11" s="1429"/>
      <c r="BA11" s="1429"/>
      <c r="BB11" s="1429"/>
      <c r="BC11" s="1429"/>
      <c r="BD11" s="525"/>
      <c r="BE11" s="526"/>
    </row>
    <row r="12" spans="2:57" ht="62.25" customHeight="1">
      <c r="B12" s="1837"/>
      <c r="C12" s="1835"/>
      <c r="D12" s="1835"/>
      <c r="E12" s="1835"/>
      <c r="F12" s="1835"/>
      <c r="G12" s="1835"/>
      <c r="H12" s="1835"/>
      <c r="I12" s="1835"/>
      <c r="J12" s="1835"/>
      <c r="K12" s="1838"/>
      <c r="L12" s="1838"/>
      <c r="M12" s="1838"/>
      <c r="N12" s="1838"/>
      <c r="O12" s="1838"/>
      <c r="P12" s="1838"/>
      <c r="Q12" s="1838"/>
      <c r="R12" s="1838"/>
      <c r="S12" s="1838"/>
      <c r="T12" s="1838"/>
      <c r="U12" s="1838"/>
      <c r="V12" s="1838"/>
      <c r="W12" s="1838"/>
      <c r="X12" s="1838"/>
      <c r="Y12" s="1838"/>
      <c r="Z12" s="1838"/>
      <c r="AA12" s="1838"/>
      <c r="AB12" s="1838"/>
      <c r="AC12" s="1838"/>
      <c r="AD12" s="1838"/>
      <c r="AE12" s="1838"/>
      <c r="AF12" s="1838"/>
      <c r="AG12" s="1838"/>
      <c r="AH12" s="1838"/>
      <c r="AI12" s="1838"/>
      <c r="AJ12" s="1838"/>
      <c r="AK12" s="1838"/>
      <c r="AL12" s="1838"/>
      <c r="AM12" s="1838"/>
      <c r="AN12" s="1838"/>
      <c r="AO12" s="1838"/>
      <c r="AP12" s="1838"/>
      <c r="AQ12" s="1838"/>
      <c r="AR12" s="1838"/>
      <c r="AS12" s="1838"/>
      <c r="AT12" s="1838"/>
      <c r="AU12" s="1839"/>
      <c r="AV12" s="1839"/>
      <c r="AW12" s="1839"/>
      <c r="AX12" s="1839"/>
      <c r="AY12" s="1839"/>
      <c r="AZ12" s="1839"/>
      <c r="BA12" s="1839"/>
      <c r="BB12" s="1839"/>
      <c r="BC12" s="1839"/>
      <c r="BD12" s="525"/>
      <c r="BE12" s="526"/>
    </row>
    <row r="13" spans="2:57" ht="62.25" customHeight="1">
      <c r="B13" s="1837"/>
      <c r="C13" s="1835"/>
      <c r="D13" s="1835"/>
      <c r="E13" s="1835"/>
      <c r="F13" s="1835"/>
      <c r="G13" s="1835"/>
      <c r="H13" s="1835"/>
      <c r="I13" s="1835"/>
      <c r="J13" s="1835"/>
      <c r="K13" s="1838"/>
      <c r="L13" s="1838"/>
      <c r="M13" s="1838"/>
      <c r="N13" s="1838"/>
      <c r="O13" s="1838"/>
      <c r="P13" s="1838"/>
      <c r="Q13" s="1838"/>
      <c r="R13" s="1838"/>
      <c r="S13" s="1838"/>
      <c r="T13" s="1838"/>
      <c r="U13" s="1838"/>
      <c r="V13" s="1838"/>
      <c r="W13" s="1838"/>
      <c r="X13" s="1838"/>
      <c r="Y13" s="1838"/>
      <c r="Z13" s="1838"/>
      <c r="AA13" s="1838"/>
      <c r="AB13" s="1838"/>
      <c r="AC13" s="1838"/>
      <c r="AD13" s="1838"/>
      <c r="AE13" s="1838"/>
      <c r="AF13" s="1838"/>
      <c r="AG13" s="1838"/>
      <c r="AH13" s="1838"/>
      <c r="AI13" s="1838"/>
      <c r="AJ13" s="1838"/>
      <c r="AK13" s="1838"/>
      <c r="AL13" s="1838"/>
      <c r="AM13" s="1838"/>
      <c r="AN13" s="1838"/>
      <c r="AO13" s="1838"/>
      <c r="AP13" s="1838"/>
      <c r="AQ13" s="1838"/>
      <c r="AR13" s="1838"/>
      <c r="AS13" s="1838"/>
      <c r="AT13" s="1838"/>
      <c r="AU13" s="1839"/>
      <c r="AV13" s="1839"/>
      <c r="AW13" s="1839"/>
      <c r="AX13" s="1839"/>
      <c r="AY13" s="1839"/>
      <c r="AZ13" s="1839"/>
      <c r="BA13" s="1839"/>
      <c r="BB13" s="1839"/>
      <c r="BC13" s="1839"/>
      <c r="BD13" s="525"/>
      <c r="BE13" s="526"/>
    </row>
    <row r="14" spans="2:57" ht="62.25" customHeight="1">
      <c r="B14" s="1836"/>
      <c r="C14" s="1429"/>
      <c r="D14" s="1429"/>
      <c r="E14" s="1429"/>
      <c r="F14" s="1429"/>
      <c r="G14" s="1429"/>
      <c r="H14" s="1429"/>
      <c r="I14" s="1429"/>
      <c r="J14" s="1429"/>
      <c r="K14" s="1838"/>
      <c r="L14" s="1838"/>
      <c r="M14" s="1838"/>
      <c r="N14" s="1838"/>
      <c r="O14" s="1838"/>
      <c r="P14" s="1838"/>
      <c r="Q14" s="1838"/>
      <c r="R14" s="1838"/>
      <c r="S14" s="1838"/>
      <c r="T14" s="1838"/>
      <c r="U14" s="1838"/>
      <c r="V14" s="1838"/>
      <c r="W14" s="1838"/>
      <c r="X14" s="1838"/>
      <c r="Y14" s="1838"/>
      <c r="Z14" s="1838"/>
      <c r="AA14" s="1838"/>
      <c r="AB14" s="1838"/>
      <c r="AC14" s="1838"/>
      <c r="AD14" s="1838"/>
      <c r="AE14" s="1838"/>
      <c r="AF14" s="1838"/>
      <c r="AG14" s="1838"/>
      <c r="AH14" s="1838"/>
      <c r="AI14" s="1838"/>
      <c r="AJ14" s="1838"/>
      <c r="AK14" s="1838"/>
      <c r="AL14" s="1838"/>
      <c r="AM14" s="1838"/>
      <c r="AN14" s="1838"/>
      <c r="AO14" s="1838"/>
      <c r="AP14" s="1838"/>
      <c r="AQ14" s="1838"/>
      <c r="AR14" s="1838"/>
      <c r="AS14" s="1838"/>
      <c r="AT14" s="1838"/>
      <c r="AU14" s="1429"/>
      <c r="AV14" s="1429"/>
      <c r="AW14" s="1429"/>
      <c r="AX14" s="1429"/>
      <c r="AY14" s="1429"/>
      <c r="AZ14" s="1429"/>
      <c r="BA14" s="1429"/>
      <c r="BB14" s="1429"/>
      <c r="BC14" s="1429"/>
      <c r="BD14" s="525"/>
      <c r="BE14" s="526"/>
    </row>
    <row r="15" spans="2:57" ht="62.25" customHeight="1">
      <c r="B15" s="1836"/>
      <c r="C15" s="1429"/>
      <c r="D15" s="1429"/>
      <c r="E15" s="1429"/>
      <c r="F15" s="1429"/>
      <c r="G15" s="1429"/>
      <c r="H15" s="1429"/>
      <c r="I15" s="1429"/>
      <c r="J15" s="1429"/>
      <c r="K15" s="1838"/>
      <c r="L15" s="1838"/>
      <c r="M15" s="1838"/>
      <c r="N15" s="1838"/>
      <c r="O15" s="1838"/>
      <c r="P15" s="1838"/>
      <c r="Q15" s="1838"/>
      <c r="R15" s="1838"/>
      <c r="S15" s="1838"/>
      <c r="T15" s="1838"/>
      <c r="U15" s="1838"/>
      <c r="V15" s="1838"/>
      <c r="W15" s="1838"/>
      <c r="X15" s="1838"/>
      <c r="Y15" s="1838"/>
      <c r="Z15" s="1838"/>
      <c r="AA15" s="1838"/>
      <c r="AB15" s="1838"/>
      <c r="AC15" s="1838"/>
      <c r="AD15" s="1838"/>
      <c r="AE15" s="1838"/>
      <c r="AF15" s="1838"/>
      <c r="AG15" s="1838"/>
      <c r="AH15" s="1838"/>
      <c r="AI15" s="1838"/>
      <c r="AJ15" s="1838"/>
      <c r="AK15" s="1838"/>
      <c r="AL15" s="1838"/>
      <c r="AM15" s="1838"/>
      <c r="AN15" s="1838"/>
      <c r="AO15" s="1838"/>
      <c r="AP15" s="1838"/>
      <c r="AQ15" s="1838"/>
      <c r="AR15" s="1838"/>
      <c r="AS15" s="1838"/>
      <c r="AT15" s="1838"/>
      <c r="AU15" s="1429"/>
      <c r="AV15" s="1429"/>
      <c r="AW15" s="1429"/>
      <c r="AX15" s="1429"/>
      <c r="AY15" s="1429"/>
      <c r="AZ15" s="1429"/>
      <c r="BA15" s="1429"/>
      <c r="BB15" s="1429"/>
      <c r="BC15" s="1429"/>
      <c r="BD15" s="525"/>
      <c r="BE15" s="526"/>
    </row>
    <row r="16" spans="2:57" ht="62.25" customHeight="1">
      <c r="B16" s="1837"/>
      <c r="C16" s="1835"/>
      <c r="D16" s="1835"/>
      <c r="E16" s="1835"/>
      <c r="F16" s="1835"/>
      <c r="G16" s="1835"/>
      <c r="H16" s="1835"/>
      <c r="I16" s="1835"/>
      <c r="J16" s="1835"/>
      <c r="K16" s="1838"/>
      <c r="L16" s="1838"/>
      <c r="M16" s="1838"/>
      <c r="N16" s="1838"/>
      <c r="O16" s="1838"/>
      <c r="P16" s="1838"/>
      <c r="Q16" s="1838"/>
      <c r="R16" s="1838"/>
      <c r="S16" s="1838"/>
      <c r="T16" s="1838"/>
      <c r="U16" s="1838"/>
      <c r="V16" s="1838"/>
      <c r="W16" s="1838"/>
      <c r="X16" s="1838"/>
      <c r="Y16" s="1838"/>
      <c r="Z16" s="1838"/>
      <c r="AA16" s="1838"/>
      <c r="AB16" s="1838"/>
      <c r="AC16" s="1838"/>
      <c r="AD16" s="1838"/>
      <c r="AE16" s="1838"/>
      <c r="AF16" s="1838"/>
      <c r="AG16" s="1838"/>
      <c r="AH16" s="1838"/>
      <c r="AI16" s="1838"/>
      <c r="AJ16" s="1838"/>
      <c r="AK16" s="1838"/>
      <c r="AL16" s="1838"/>
      <c r="AM16" s="1838"/>
      <c r="AN16" s="1838"/>
      <c r="AO16" s="1838"/>
      <c r="AP16" s="1838"/>
      <c r="AQ16" s="1838"/>
      <c r="AR16" s="1838"/>
      <c r="AS16" s="1838"/>
      <c r="AT16" s="1838"/>
      <c r="AU16" s="1835"/>
      <c r="AV16" s="1835"/>
      <c r="AW16" s="1835"/>
      <c r="AX16" s="1835"/>
      <c r="AY16" s="1835"/>
      <c r="AZ16" s="1835"/>
      <c r="BA16" s="1835"/>
      <c r="BB16" s="1835"/>
      <c r="BC16" s="1835"/>
      <c r="BD16" s="525"/>
      <c r="BE16" s="526"/>
    </row>
    <row r="17" spans="2:57" ht="62.25" customHeight="1">
      <c r="B17" s="1837"/>
      <c r="C17" s="1835"/>
      <c r="D17" s="1835"/>
      <c r="E17" s="1835"/>
      <c r="F17" s="1835"/>
      <c r="G17" s="1835"/>
      <c r="H17" s="1835"/>
      <c r="I17" s="1835"/>
      <c r="J17" s="1835"/>
      <c r="K17" s="1838"/>
      <c r="L17" s="1838"/>
      <c r="M17" s="1838"/>
      <c r="N17" s="1838"/>
      <c r="O17" s="1838"/>
      <c r="P17" s="1838"/>
      <c r="Q17" s="1838"/>
      <c r="R17" s="1838"/>
      <c r="S17" s="1838"/>
      <c r="T17" s="1838"/>
      <c r="U17" s="1838"/>
      <c r="V17" s="1838"/>
      <c r="W17" s="1838"/>
      <c r="X17" s="1838"/>
      <c r="Y17" s="1838"/>
      <c r="Z17" s="1838"/>
      <c r="AA17" s="1838"/>
      <c r="AB17" s="1838"/>
      <c r="AC17" s="1838"/>
      <c r="AD17" s="1838"/>
      <c r="AE17" s="1838"/>
      <c r="AF17" s="1838"/>
      <c r="AG17" s="1838"/>
      <c r="AH17" s="1838"/>
      <c r="AI17" s="1838"/>
      <c r="AJ17" s="1838"/>
      <c r="AK17" s="1838"/>
      <c r="AL17" s="1838"/>
      <c r="AM17" s="1838"/>
      <c r="AN17" s="1838"/>
      <c r="AO17" s="1838"/>
      <c r="AP17" s="1838"/>
      <c r="AQ17" s="1838"/>
      <c r="AR17" s="1838"/>
      <c r="AS17" s="1838"/>
      <c r="AT17" s="1838"/>
      <c r="AU17" s="1835"/>
      <c r="AV17" s="1835"/>
      <c r="AW17" s="1835"/>
      <c r="AX17" s="1835"/>
      <c r="AY17" s="1835"/>
      <c r="AZ17" s="1835"/>
      <c r="BA17" s="1835"/>
      <c r="BB17" s="1835"/>
      <c r="BC17" s="1835"/>
      <c r="BD17" s="525"/>
      <c r="BE17" s="526"/>
    </row>
    <row r="18" spans="2:57" ht="62.25" customHeight="1">
      <c r="B18" s="1836"/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1429"/>
      <c r="AG18" s="1429"/>
      <c r="AH18" s="1429"/>
      <c r="AI18" s="1429"/>
      <c r="AJ18" s="1429"/>
      <c r="AK18" s="1429"/>
      <c r="AL18" s="1429"/>
      <c r="AM18" s="1429"/>
      <c r="AN18" s="1429"/>
      <c r="AO18" s="1429"/>
      <c r="AP18" s="1429"/>
      <c r="AQ18" s="1429"/>
      <c r="AR18" s="1429"/>
      <c r="AS18" s="1429"/>
      <c r="AT18" s="1429"/>
      <c r="AU18" s="1429"/>
      <c r="AV18" s="1429"/>
      <c r="AW18" s="1429"/>
      <c r="AX18" s="1429"/>
      <c r="AY18" s="1429"/>
      <c r="AZ18" s="1429"/>
      <c r="BA18" s="1429"/>
      <c r="BB18" s="1429"/>
      <c r="BC18" s="1429"/>
      <c r="BD18" s="525"/>
      <c r="BE18" s="526"/>
    </row>
    <row r="19" spans="2:57" ht="62.25" customHeight="1">
      <c r="B19" s="1836"/>
      <c r="C19" s="1429"/>
      <c r="D19" s="1429"/>
      <c r="E19" s="1429"/>
      <c r="F19" s="1429"/>
      <c r="G19" s="1429"/>
      <c r="H19" s="1429"/>
      <c r="I19" s="1429"/>
      <c r="J19" s="1429"/>
      <c r="K19" s="1429"/>
      <c r="L19" s="1429"/>
      <c r="M19" s="1429"/>
      <c r="N19" s="1429"/>
      <c r="O19" s="1429"/>
      <c r="P19" s="1429"/>
      <c r="Q19" s="1429"/>
      <c r="R19" s="1429"/>
      <c r="S19" s="1429"/>
      <c r="T19" s="1429"/>
      <c r="U19" s="1429"/>
      <c r="V19" s="1429"/>
      <c r="W19" s="1429"/>
      <c r="X19" s="1429"/>
      <c r="Y19" s="1429"/>
      <c r="Z19" s="1429"/>
      <c r="AA19" s="1429"/>
      <c r="AB19" s="1429"/>
      <c r="AC19" s="1429"/>
      <c r="AD19" s="1429"/>
      <c r="AE19" s="1429"/>
      <c r="AF19" s="1429"/>
      <c r="AG19" s="1429"/>
      <c r="AH19" s="1429"/>
      <c r="AI19" s="1429"/>
      <c r="AJ19" s="1429"/>
      <c r="AK19" s="1429"/>
      <c r="AL19" s="1429"/>
      <c r="AM19" s="1429"/>
      <c r="AN19" s="1429"/>
      <c r="AO19" s="1429"/>
      <c r="AP19" s="1429"/>
      <c r="AQ19" s="1429"/>
      <c r="AR19" s="1429"/>
      <c r="AS19" s="1429"/>
      <c r="AT19" s="1429"/>
      <c r="AU19" s="1429"/>
      <c r="AV19" s="1429"/>
      <c r="AW19" s="1429"/>
      <c r="AX19" s="1429"/>
      <c r="AY19" s="1429"/>
      <c r="AZ19" s="1429"/>
      <c r="BA19" s="1429"/>
      <c r="BB19" s="1429"/>
      <c r="BC19" s="1429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505</v>
      </c>
      <c r="K20" s="253"/>
      <c r="L20" s="253"/>
      <c r="M20" s="253"/>
      <c r="N20" s="253"/>
      <c r="O20" s="253"/>
      <c r="P20" s="1834">
        <v>1</v>
      </c>
      <c r="Q20" s="1834"/>
      <c r="R20" s="528" t="s">
        <v>357</v>
      </c>
      <c r="S20" s="1429">
        <f>REGISTROS!$AK$11</f>
        <v>0</v>
      </c>
      <c r="T20" s="1429"/>
      <c r="U20" s="1429"/>
      <c r="V20" s="321" t="s">
        <v>506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505</v>
      </c>
      <c r="K21" s="253"/>
      <c r="L21" s="253"/>
      <c r="M21" s="253"/>
      <c r="N21" s="253"/>
      <c r="O21" s="253"/>
      <c r="P21" s="1834">
        <v>2</v>
      </c>
      <c r="Q21" s="1834"/>
      <c r="R21" s="528" t="s">
        <v>357</v>
      </c>
      <c r="S21" s="1429">
        <f>REGISTROS!$AK$12</f>
        <v>0</v>
      </c>
      <c r="T21" s="1429"/>
      <c r="U21" s="1429"/>
      <c r="V21" s="321" t="s">
        <v>506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505</v>
      </c>
      <c r="K22" s="253"/>
      <c r="L22" s="253"/>
      <c r="M22" s="253"/>
      <c r="N22" s="253"/>
      <c r="O22" s="253"/>
      <c r="P22" s="1834">
        <v>3</v>
      </c>
      <c r="Q22" s="1834"/>
      <c r="R22" s="528" t="s">
        <v>357</v>
      </c>
      <c r="S22" s="1429">
        <f>REGISTROS!$AK$13</f>
        <v>0</v>
      </c>
      <c r="T22" s="1429"/>
      <c r="U22" s="1429"/>
      <c r="V22" s="321" t="s">
        <v>506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505</v>
      </c>
      <c r="K23" s="531"/>
      <c r="L23" s="531"/>
      <c r="M23" s="531"/>
      <c r="N23" s="531"/>
      <c r="O23" s="531"/>
      <c r="P23" s="1834">
        <v>4</v>
      </c>
      <c r="Q23" s="1834"/>
      <c r="R23" s="528" t="s">
        <v>357</v>
      </c>
      <c r="S23" s="1429">
        <v>0</v>
      </c>
      <c r="T23" s="1429"/>
      <c r="U23" s="1429"/>
      <c r="V23" s="321" t="s">
        <v>506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505</v>
      </c>
      <c r="K24" s="531"/>
      <c r="L24" s="531"/>
      <c r="M24" s="531"/>
      <c r="N24" s="531"/>
      <c r="O24" s="531"/>
      <c r="P24" s="1834">
        <v>5</v>
      </c>
      <c r="Q24" s="1834"/>
      <c r="R24" s="528" t="s">
        <v>357</v>
      </c>
      <c r="S24" s="1429">
        <v>0</v>
      </c>
      <c r="T24" s="1429"/>
      <c r="U24" s="1429"/>
      <c r="V24" s="321" t="s">
        <v>506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505</v>
      </c>
      <c r="K25" s="531"/>
      <c r="L25" s="531"/>
      <c r="M25" s="531"/>
      <c r="N25" s="531"/>
      <c r="O25" s="531"/>
      <c r="P25" s="1834">
        <v>6</v>
      </c>
      <c r="Q25" s="1834"/>
      <c r="R25" s="528" t="s">
        <v>357</v>
      </c>
      <c r="S25" s="1429"/>
      <c r="T25" s="1429"/>
      <c r="U25" s="1429"/>
      <c r="V25" s="321" t="s">
        <v>506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505</v>
      </c>
      <c r="K26" s="531"/>
      <c r="L26" s="531"/>
      <c r="M26" s="531"/>
      <c r="N26" s="531"/>
      <c r="O26" s="531"/>
      <c r="P26" s="1834">
        <v>7</v>
      </c>
      <c r="Q26" s="1834"/>
      <c r="R26" s="528" t="s">
        <v>357</v>
      </c>
      <c r="S26" s="1429"/>
      <c r="T26" s="1429"/>
      <c r="U26" s="1429"/>
      <c r="V26" s="321" t="s">
        <v>506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505</v>
      </c>
      <c r="K27" s="531"/>
      <c r="L27" s="531"/>
      <c r="M27" s="531"/>
      <c r="N27" s="531"/>
      <c r="O27" s="531"/>
      <c r="P27" s="1834">
        <v>8</v>
      </c>
      <c r="Q27" s="1834"/>
      <c r="R27" s="528" t="s">
        <v>357</v>
      </c>
      <c r="S27" s="1429"/>
      <c r="T27" s="1429"/>
      <c r="U27" s="1429"/>
      <c r="V27" s="321" t="s">
        <v>506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505</v>
      </c>
      <c r="K28" s="253"/>
      <c r="L28" s="253"/>
      <c r="M28" s="253"/>
      <c r="N28" s="253"/>
      <c r="O28" s="253"/>
      <c r="P28" s="1834">
        <v>9</v>
      </c>
      <c r="Q28" s="1834"/>
      <c r="R28" s="528" t="s">
        <v>357</v>
      </c>
      <c r="S28" s="1429"/>
      <c r="T28" s="1429"/>
      <c r="U28" s="1429"/>
      <c r="V28" s="321" t="s">
        <v>506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505</v>
      </c>
      <c r="P29" s="1834">
        <v>10</v>
      </c>
      <c r="Q29" s="1834"/>
      <c r="R29" s="528" t="s">
        <v>357</v>
      </c>
      <c r="S29" s="1429"/>
      <c r="T29" s="1429"/>
      <c r="U29" s="1429"/>
      <c r="V29" s="321" t="s">
        <v>506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mergeCells count="63">
    <mergeCell ref="B2:BE2"/>
    <mergeCell ref="H4:AM4"/>
    <mergeCell ref="AQ4:BD4"/>
    <mergeCell ref="G5:W5"/>
    <mergeCell ref="Z5:AC5"/>
    <mergeCell ref="AI5:AU5"/>
    <mergeCell ref="AY5:BD5"/>
    <mergeCell ref="AU8:BC9"/>
    <mergeCell ref="B10:J11"/>
    <mergeCell ref="K10:S11"/>
    <mergeCell ref="T10:AB11"/>
    <mergeCell ref="AC10:AK11"/>
    <mergeCell ref="AL10:AT11"/>
    <mergeCell ref="AU10:BC11"/>
    <mergeCell ref="B8:J9"/>
    <mergeCell ref="K8:S9"/>
    <mergeCell ref="T8:AB9"/>
    <mergeCell ref="AC8:AK9"/>
    <mergeCell ref="AL8:AT9"/>
    <mergeCell ref="AU12:BC13"/>
    <mergeCell ref="B14:J15"/>
    <mergeCell ref="K14:S15"/>
    <mergeCell ref="T14:AB15"/>
    <mergeCell ref="AC14:AK15"/>
    <mergeCell ref="AL14:AT15"/>
    <mergeCell ref="AU14:BC15"/>
    <mergeCell ref="B12:J13"/>
    <mergeCell ref="K12:S13"/>
    <mergeCell ref="T12:AB13"/>
    <mergeCell ref="AC12:AK13"/>
    <mergeCell ref="AL12:AT13"/>
    <mergeCell ref="AU16:BC17"/>
    <mergeCell ref="B18:J19"/>
    <mergeCell ref="K18:S19"/>
    <mergeCell ref="T18:AB19"/>
    <mergeCell ref="AC18:AK19"/>
    <mergeCell ref="AL18:AT19"/>
    <mergeCell ref="AU18:BC19"/>
    <mergeCell ref="B16:J17"/>
    <mergeCell ref="K16:S17"/>
    <mergeCell ref="T16:AB17"/>
    <mergeCell ref="AC16:AK17"/>
    <mergeCell ref="AL16:AT17"/>
    <mergeCell ref="P20:Q20"/>
    <mergeCell ref="S20:U20"/>
    <mergeCell ref="P21:Q21"/>
    <mergeCell ref="S21:U21"/>
    <mergeCell ref="P22:Q22"/>
    <mergeCell ref="S22:U22"/>
    <mergeCell ref="P23:Q23"/>
    <mergeCell ref="S23:U23"/>
    <mergeCell ref="P24:Q24"/>
    <mergeCell ref="S24:U24"/>
    <mergeCell ref="P25:Q25"/>
    <mergeCell ref="S25:U25"/>
    <mergeCell ref="P29:Q29"/>
    <mergeCell ref="S29:U29"/>
    <mergeCell ref="P26:Q26"/>
    <mergeCell ref="S26:U26"/>
    <mergeCell ref="P27:Q27"/>
    <mergeCell ref="S27:U27"/>
    <mergeCell ref="P28:Q28"/>
    <mergeCell ref="S28:U28"/>
  </mergeCells>
  <pageMargins left="0.9055118110236221" right="0" top="0" bottom="0" header="0.31496062992125984" footer="0.31496062992125984"/>
  <pageSetup paperSize="9" scale="7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BE30"/>
  <sheetViews>
    <sheetView zoomScale="115" zoomScaleNormal="115" workbookViewId="0">
      <selection activeCell="BG12" sqref="BG12"/>
    </sheetView>
  </sheetViews>
  <sheetFormatPr baseColWidth="10" defaultColWidth="9.140625" defaultRowHeight="12.75"/>
  <cols>
    <col min="1" max="10" width="2" customWidth="1"/>
    <col min="11" max="16" width="1.7109375" customWidth="1"/>
    <col min="17" max="17" width="2.28515625" customWidth="1"/>
    <col min="18" max="18" width="2" customWidth="1"/>
    <col min="19" max="20" width="3.42578125" customWidth="1"/>
    <col min="21" max="21" width="1.7109375" customWidth="1"/>
    <col min="22" max="23" width="3.42578125" customWidth="1"/>
    <col min="24" max="28" width="1.7109375" customWidth="1"/>
    <col min="29" max="29" width="2.140625" customWidth="1"/>
    <col min="30" max="35" width="1.7109375" customWidth="1"/>
    <col min="36" max="57" width="2.140625" customWidth="1"/>
    <col min="58" max="256" width="11.42578125" customWidth="1"/>
  </cols>
  <sheetData>
    <row r="1" spans="2:57" ht="13.5" thickBot="1"/>
    <row r="2" spans="2:57" s="484" customFormat="1" ht="18">
      <c r="B2" s="1840" t="s">
        <v>673</v>
      </c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1841"/>
      <c r="Z2" s="1841"/>
      <c r="AA2" s="1841"/>
      <c r="AB2" s="1841"/>
      <c r="AC2" s="1841"/>
      <c r="AD2" s="1841"/>
      <c r="AE2" s="1841"/>
      <c r="AF2" s="1841"/>
      <c r="AG2" s="1841"/>
      <c r="AH2" s="1841"/>
      <c r="AI2" s="1841"/>
      <c r="AJ2" s="1841"/>
      <c r="AK2" s="1841"/>
      <c r="AL2" s="1841"/>
      <c r="AM2" s="1841"/>
      <c r="AN2" s="1841"/>
      <c r="AO2" s="1841"/>
      <c r="AP2" s="1841"/>
      <c r="AQ2" s="1841"/>
      <c r="AR2" s="1841"/>
      <c r="AS2" s="1841"/>
      <c r="AT2" s="1841"/>
      <c r="AU2" s="1841"/>
      <c r="AV2" s="1841"/>
      <c r="AW2" s="1841"/>
      <c r="AX2" s="1841"/>
      <c r="AY2" s="1841"/>
      <c r="AZ2" s="1841"/>
      <c r="BA2" s="1841"/>
      <c r="BB2" s="1841"/>
      <c r="BC2" s="1841"/>
      <c r="BD2" s="1841"/>
      <c r="BE2" s="1842"/>
    </row>
    <row r="3" spans="2:57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469</v>
      </c>
      <c r="C4" s="253"/>
      <c r="D4" s="253"/>
      <c r="E4" s="253"/>
      <c r="F4" s="253"/>
      <c r="G4" s="253"/>
      <c r="H4" s="1843" t="str">
        <f>DATOS!$G$7</f>
        <v>#</v>
      </c>
      <c r="I4" s="1843"/>
      <c r="J4" s="1843"/>
      <c r="K4" s="1843"/>
      <c r="L4" s="1843"/>
      <c r="M4" s="1843"/>
      <c r="N4" s="1843"/>
      <c r="O4" s="1843"/>
      <c r="P4" s="1843"/>
      <c r="Q4" s="1843"/>
      <c r="R4" s="1843"/>
      <c r="S4" s="1843"/>
      <c r="T4" s="1843"/>
      <c r="U4" s="1843"/>
      <c r="V4" s="1843"/>
      <c r="W4" s="1843"/>
      <c r="X4" s="1843"/>
      <c r="Y4" s="1843"/>
      <c r="Z4" s="1843"/>
      <c r="AA4" s="1843"/>
      <c r="AB4" s="1843"/>
      <c r="AC4" s="1843"/>
      <c r="AD4" s="1843"/>
      <c r="AE4" s="1843"/>
      <c r="AF4" s="1843"/>
      <c r="AG4" s="1843"/>
      <c r="AH4" s="1843"/>
      <c r="AI4" s="1843"/>
      <c r="AJ4" s="1843"/>
      <c r="AK4" s="1843"/>
      <c r="AL4" s="1843"/>
      <c r="AM4" s="1843"/>
      <c r="AN4" s="253" t="s">
        <v>298</v>
      </c>
      <c r="AO4" s="253"/>
      <c r="AP4" s="253"/>
      <c r="AQ4" s="1844" t="str">
        <f>DATOS!$G$8</f>
        <v>#</v>
      </c>
      <c r="AR4" s="1844"/>
      <c r="AS4" s="1844"/>
      <c r="AT4" s="1844"/>
      <c r="AU4" s="1844"/>
      <c r="AV4" s="1844"/>
      <c r="AW4" s="1844"/>
      <c r="AX4" s="1844"/>
      <c r="AY4" s="1844"/>
      <c r="AZ4" s="1844"/>
      <c r="BA4" s="1844"/>
      <c r="BB4" s="1844"/>
      <c r="BC4" s="1844"/>
      <c r="BD4" s="1844"/>
      <c r="BE4" s="444"/>
    </row>
    <row r="5" spans="2:57" ht="15">
      <c r="B5" s="443" t="s">
        <v>450</v>
      </c>
      <c r="C5" s="253"/>
      <c r="D5" s="253"/>
      <c r="E5" s="253"/>
      <c r="F5" s="253"/>
      <c r="G5" s="1844" t="str">
        <f>DATOS!$G$27</f>
        <v>#</v>
      </c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96" t="s">
        <v>378</v>
      </c>
      <c r="Y5" s="96"/>
      <c r="Z5" s="1844" t="str">
        <f>DATOS!$G$28</f>
        <v>#</v>
      </c>
      <c r="AA5" s="1844"/>
      <c r="AB5" s="1844"/>
      <c r="AC5" s="1844"/>
      <c r="AD5" s="253" t="s">
        <v>448</v>
      </c>
      <c r="AE5" s="253"/>
      <c r="AF5" s="253"/>
      <c r="AG5" s="253"/>
      <c r="AH5" s="253"/>
      <c r="AI5" s="1844" t="str">
        <f>DATOS!$G$29</f>
        <v>#</v>
      </c>
      <c r="AJ5" s="1844"/>
      <c r="AK5" s="1844"/>
      <c r="AL5" s="1844"/>
      <c r="AM5" s="1844"/>
      <c r="AN5" s="1844"/>
      <c r="AO5" s="1844"/>
      <c r="AP5" s="1844"/>
      <c r="AQ5" s="1844"/>
      <c r="AR5" s="1844"/>
      <c r="AS5" s="1844"/>
      <c r="AT5" s="1844"/>
      <c r="AU5" s="1844"/>
      <c r="AV5" s="253" t="s">
        <v>503</v>
      </c>
      <c r="AW5" s="253"/>
      <c r="AX5" s="253"/>
      <c r="AY5" s="1844" t="str">
        <f>DATOS!$G$30</f>
        <v>#</v>
      </c>
      <c r="AZ5" s="1844"/>
      <c r="BA5" s="1844"/>
      <c r="BB5" s="1844"/>
      <c r="BC5" s="1844"/>
      <c r="BD5" s="1844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675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837"/>
      <c r="C8" s="1835"/>
      <c r="D8" s="1835"/>
      <c r="E8" s="1835"/>
      <c r="F8" s="1835"/>
      <c r="G8" s="1835"/>
      <c r="H8" s="1835"/>
      <c r="I8" s="1835"/>
      <c r="J8" s="1835"/>
      <c r="K8" s="1429"/>
      <c r="L8" s="1429"/>
      <c r="M8" s="1429"/>
      <c r="N8" s="1429"/>
      <c r="O8" s="1429"/>
      <c r="P8" s="1429"/>
      <c r="Q8" s="1429"/>
      <c r="R8" s="1429"/>
      <c r="S8" s="1429"/>
      <c r="T8" s="1839"/>
      <c r="U8" s="1839"/>
      <c r="V8" s="1839"/>
      <c r="W8" s="1839"/>
      <c r="X8" s="1839"/>
      <c r="Y8" s="1839"/>
      <c r="Z8" s="1839"/>
      <c r="AA8" s="1839"/>
      <c r="AB8" s="1839"/>
      <c r="AC8" s="1835"/>
      <c r="AD8" s="1835"/>
      <c r="AE8" s="1835"/>
      <c r="AF8" s="1835"/>
      <c r="AG8" s="1835"/>
      <c r="AH8" s="1835"/>
      <c r="AI8" s="1835"/>
      <c r="AJ8" s="1835"/>
      <c r="AK8" s="1835"/>
      <c r="AL8" s="1835"/>
      <c r="AM8" s="1835"/>
      <c r="AN8" s="1835"/>
      <c r="AO8" s="1835"/>
      <c r="AP8" s="1835"/>
      <c r="AQ8" s="1835"/>
      <c r="AR8" s="1835"/>
      <c r="AS8" s="1835"/>
      <c r="AT8" s="1835"/>
      <c r="AU8" s="1835"/>
      <c r="AV8" s="1835"/>
      <c r="AW8" s="1835"/>
      <c r="AX8" s="1835"/>
      <c r="AY8" s="1835"/>
      <c r="AZ8" s="1835"/>
      <c r="BA8" s="1835"/>
      <c r="BB8" s="1835"/>
      <c r="BC8" s="1835"/>
      <c r="BD8" s="525"/>
      <c r="BE8" s="526"/>
    </row>
    <row r="9" spans="2:57" ht="62.25" customHeight="1">
      <c r="B9" s="1837"/>
      <c r="C9" s="1835"/>
      <c r="D9" s="1835"/>
      <c r="E9" s="1835"/>
      <c r="F9" s="1835"/>
      <c r="G9" s="1835"/>
      <c r="H9" s="1835"/>
      <c r="I9" s="1835"/>
      <c r="J9" s="1835"/>
      <c r="K9" s="1429"/>
      <c r="L9" s="1429"/>
      <c r="M9" s="1429"/>
      <c r="N9" s="1429"/>
      <c r="O9" s="1429"/>
      <c r="P9" s="1429"/>
      <c r="Q9" s="1429"/>
      <c r="R9" s="1429"/>
      <c r="S9" s="1429"/>
      <c r="T9" s="1839"/>
      <c r="U9" s="1839"/>
      <c r="V9" s="1839"/>
      <c r="W9" s="1839"/>
      <c r="X9" s="1839"/>
      <c r="Y9" s="1839"/>
      <c r="Z9" s="1839"/>
      <c r="AA9" s="1839"/>
      <c r="AB9" s="1839"/>
      <c r="AC9" s="1835"/>
      <c r="AD9" s="1835"/>
      <c r="AE9" s="1835"/>
      <c r="AF9" s="1835"/>
      <c r="AG9" s="1835"/>
      <c r="AH9" s="1835"/>
      <c r="AI9" s="1835"/>
      <c r="AJ9" s="1835"/>
      <c r="AK9" s="1835"/>
      <c r="AL9" s="1835"/>
      <c r="AM9" s="1835"/>
      <c r="AN9" s="1835"/>
      <c r="AO9" s="1835"/>
      <c r="AP9" s="1835"/>
      <c r="AQ9" s="1835"/>
      <c r="AR9" s="1835"/>
      <c r="AS9" s="1835"/>
      <c r="AT9" s="1835"/>
      <c r="AU9" s="1835"/>
      <c r="AV9" s="1835"/>
      <c r="AW9" s="1835"/>
      <c r="AX9" s="1835"/>
      <c r="AY9" s="1835"/>
      <c r="AZ9" s="1835"/>
      <c r="BA9" s="1835"/>
      <c r="BB9" s="1835"/>
      <c r="BC9" s="1835"/>
      <c r="BD9" s="525"/>
      <c r="BE9" s="526"/>
    </row>
    <row r="10" spans="2:57" ht="62.25" customHeight="1">
      <c r="B10" s="1836"/>
      <c r="C10" s="1429"/>
      <c r="D10" s="1429"/>
      <c r="E10" s="1429"/>
      <c r="F10" s="1429"/>
      <c r="G10" s="1429"/>
      <c r="H10" s="1429"/>
      <c r="I10" s="1429"/>
      <c r="J10" s="1429"/>
      <c r="K10" s="1838"/>
      <c r="L10" s="1838"/>
      <c r="M10" s="1838"/>
      <c r="N10" s="1838"/>
      <c r="O10" s="1838"/>
      <c r="P10" s="1838"/>
      <c r="Q10" s="1838"/>
      <c r="R10" s="1838"/>
      <c r="S10" s="1838"/>
      <c r="T10" s="1838"/>
      <c r="U10" s="1838"/>
      <c r="V10" s="1838"/>
      <c r="W10" s="1838"/>
      <c r="X10" s="1838"/>
      <c r="Y10" s="1838"/>
      <c r="Z10" s="1838"/>
      <c r="AA10" s="1838"/>
      <c r="AB10" s="1838"/>
      <c r="AC10" s="1838"/>
      <c r="AD10" s="1838"/>
      <c r="AE10" s="1838"/>
      <c r="AF10" s="1838"/>
      <c r="AG10" s="1838"/>
      <c r="AH10" s="1838"/>
      <c r="AI10" s="1838"/>
      <c r="AJ10" s="1838"/>
      <c r="AK10" s="1838"/>
      <c r="AL10" s="1838"/>
      <c r="AM10" s="1838"/>
      <c r="AN10" s="1838"/>
      <c r="AO10" s="1838"/>
      <c r="AP10" s="1838"/>
      <c r="AQ10" s="1838"/>
      <c r="AR10" s="1838"/>
      <c r="AS10" s="1838"/>
      <c r="AT10" s="1838"/>
      <c r="AU10" s="1429"/>
      <c r="AV10" s="1429"/>
      <c r="AW10" s="1429"/>
      <c r="AX10" s="1429"/>
      <c r="AY10" s="1429"/>
      <c r="AZ10" s="1429"/>
      <c r="BA10" s="1429"/>
      <c r="BB10" s="1429"/>
      <c r="BC10" s="1429"/>
      <c r="BD10" s="525"/>
      <c r="BE10" s="526"/>
    </row>
    <row r="11" spans="2:57" ht="62.25" customHeight="1">
      <c r="B11" s="1836"/>
      <c r="C11" s="1429"/>
      <c r="D11" s="1429"/>
      <c r="E11" s="1429"/>
      <c r="F11" s="1429"/>
      <c r="G11" s="1429"/>
      <c r="H11" s="1429"/>
      <c r="I11" s="1429"/>
      <c r="J11" s="1429"/>
      <c r="K11" s="1838"/>
      <c r="L11" s="1838"/>
      <c r="M11" s="1838"/>
      <c r="N11" s="1838"/>
      <c r="O11" s="1838"/>
      <c r="P11" s="1838"/>
      <c r="Q11" s="1838"/>
      <c r="R11" s="1838"/>
      <c r="S11" s="1838"/>
      <c r="T11" s="1838"/>
      <c r="U11" s="1838"/>
      <c r="V11" s="1838"/>
      <c r="W11" s="1838"/>
      <c r="X11" s="1838"/>
      <c r="Y11" s="1838"/>
      <c r="Z11" s="1838"/>
      <c r="AA11" s="1838"/>
      <c r="AB11" s="1838"/>
      <c r="AC11" s="1838"/>
      <c r="AD11" s="1838"/>
      <c r="AE11" s="1838"/>
      <c r="AF11" s="1838"/>
      <c r="AG11" s="1838"/>
      <c r="AH11" s="1838"/>
      <c r="AI11" s="1838"/>
      <c r="AJ11" s="1838"/>
      <c r="AK11" s="1838"/>
      <c r="AL11" s="1838"/>
      <c r="AM11" s="1838"/>
      <c r="AN11" s="1838"/>
      <c r="AO11" s="1838"/>
      <c r="AP11" s="1838"/>
      <c r="AQ11" s="1838"/>
      <c r="AR11" s="1838"/>
      <c r="AS11" s="1838"/>
      <c r="AT11" s="1838"/>
      <c r="AU11" s="1429"/>
      <c r="AV11" s="1429"/>
      <c r="AW11" s="1429"/>
      <c r="AX11" s="1429"/>
      <c r="AY11" s="1429"/>
      <c r="AZ11" s="1429"/>
      <c r="BA11" s="1429"/>
      <c r="BB11" s="1429"/>
      <c r="BC11" s="1429"/>
      <c r="BD11" s="525"/>
      <c r="BE11" s="526"/>
    </row>
    <row r="12" spans="2:57" ht="62.25" customHeight="1">
      <c r="B12" s="1837"/>
      <c r="C12" s="1835"/>
      <c r="D12" s="1835"/>
      <c r="E12" s="1835"/>
      <c r="F12" s="1835"/>
      <c r="G12" s="1835"/>
      <c r="H12" s="1835"/>
      <c r="I12" s="1835"/>
      <c r="J12" s="1835"/>
      <c r="K12" s="1838"/>
      <c r="L12" s="1838"/>
      <c r="M12" s="1838"/>
      <c r="N12" s="1838"/>
      <c r="O12" s="1838"/>
      <c r="P12" s="1838"/>
      <c r="Q12" s="1838"/>
      <c r="R12" s="1838"/>
      <c r="S12" s="1838"/>
      <c r="T12" s="1838"/>
      <c r="U12" s="1838"/>
      <c r="V12" s="1838"/>
      <c r="W12" s="1838"/>
      <c r="X12" s="1838"/>
      <c r="Y12" s="1838"/>
      <c r="Z12" s="1838"/>
      <c r="AA12" s="1838"/>
      <c r="AB12" s="1838"/>
      <c r="AC12" s="1838"/>
      <c r="AD12" s="1838"/>
      <c r="AE12" s="1838"/>
      <c r="AF12" s="1838"/>
      <c r="AG12" s="1838"/>
      <c r="AH12" s="1838"/>
      <c r="AI12" s="1838"/>
      <c r="AJ12" s="1838"/>
      <c r="AK12" s="1838"/>
      <c r="AL12" s="1838"/>
      <c r="AM12" s="1838"/>
      <c r="AN12" s="1838"/>
      <c r="AO12" s="1838"/>
      <c r="AP12" s="1838"/>
      <c r="AQ12" s="1838"/>
      <c r="AR12" s="1838"/>
      <c r="AS12" s="1838"/>
      <c r="AT12" s="1838"/>
      <c r="AU12" s="1839"/>
      <c r="AV12" s="1839"/>
      <c r="AW12" s="1839"/>
      <c r="AX12" s="1839"/>
      <c r="AY12" s="1839"/>
      <c r="AZ12" s="1839"/>
      <c r="BA12" s="1839"/>
      <c r="BB12" s="1839"/>
      <c r="BC12" s="1839"/>
      <c r="BD12" s="525"/>
      <c r="BE12" s="526"/>
    </row>
    <row r="13" spans="2:57" ht="62.25" customHeight="1">
      <c r="B13" s="1837"/>
      <c r="C13" s="1835"/>
      <c r="D13" s="1835"/>
      <c r="E13" s="1835"/>
      <c r="F13" s="1835"/>
      <c r="G13" s="1835"/>
      <c r="H13" s="1835"/>
      <c r="I13" s="1835"/>
      <c r="J13" s="1835"/>
      <c r="K13" s="1838"/>
      <c r="L13" s="1838"/>
      <c r="M13" s="1838"/>
      <c r="N13" s="1838"/>
      <c r="O13" s="1838"/>
      <c r="P13" s="1838"/>
      <c r="Q13" s="1838"/>
      <c r="R13" s="1838"/>
      <c r="S13" s="1838"/>
      <c r="T13" s="1838"/>
      <c r="U13" s="1838"/>
      <c r="V13" s="1838"/>
      <c r="W13" s="1838"/>
      <c r="X13" s="1838"/>
      <c r="Y13" s="1838"/>
      <c r="Z13" s="1838"/>
      <c r="AA13" s="1838"/>
      <c r="AB13" s="1838"/>
      <c r="AC13" s="1838"/>
      <c r="AD13" s="1838"/>
      <c r="AE13" s="1838"/>
      <c r="AF13" s="1838"/>
      <c r="AG13" s="1838"/>
      <c r="AH13" s="1838"/>
      <c r="AI13" s="1838"/>
      <c r="AJ13" s="1838"/>
      <c r="AK13" s="1838"/>
      <c r="AL13" s="1838"/>
      <c r="AM13" s="1838"/>
      <c r="AN13" s="1838"/>
      <c r="AO13" s="1838"/>
      <c r="AP13" s="1838"/>
      <c r="AQ13" s="1838"/>
      <c r="AR13" s="1838"/>
      <c r="AS13" s="1838"/>
      <c r="AT13" s="1838"/>
      <c r="AU13" s="1839"/>
      <c r="AV13" s="1839"/>
      <c r="AW13" s="1839"/>
      <c r="AX13" s="1839"/>
      <c r="AY13" s="1839"/>
      <c r="AZ13" s="1839"/>
      <c r="BA13" s="1839"/>
      <c r="BB13" s="1839"/>
      <c r="BC13" s="1839"/>
      <c r="BD13" s="525"/>
      <c r="BE13" s="526"/>
    </row>
    <row r="14" spans="2:57" ht="62.25" customHeight="1">
      <c r="B14" s="1836"/>
      <c r="C14" s="1429"/>
      <c r="D14" s="1429"/>
      <c r="E14" s="1429"/>
      <c r="F14" s="1429"/>
      <c r="G14" s="1429"/>
      <c r="H14" s="1429"/>
      <c r="I14" s="1429"/>
      <c r="J14" s="1429"/>
      <c r="K14" s="1838"/>
      <c r="L14" s="1838"/>
      <c r="M14" s="1838"/>
      <c r="N14" s="1838"/>
      <c r="O14" s="1838"/>
      <c r="P14" s="1838"/>
      <c r="Q14" s="1838"/>
      <c r="R14" s="1838"/>
      <c r="S14" s="1838"/>
      <c r="T14" s="1838"/>
      <c r="U14" s="1838"/>
      <c r="V14" s="1838"/>
      <c r="W14" s="1838"/>
      <c r="X14" s="1838"/>
      <c r="Y14" s="1838"/>
      <c r="Z14" s="1838"/>
      <c r="AA14" s="1838"/>
      <c r="AB14" s="1838"/>
      <c r="AC14" s="1838"/>
      <c r="AD14" s="1838"/>
      <c r="AE14" s="1838"/>
      <c r="AF14" s="1838"/>
      <c r="AG14" s="1838"/>
      <c r="AH14" s="1838"/>
      <c r="AI14" s="1838"/>
      <c r="AJ14" s="1838"/>
      <c r="AK14" s="1838"/>
      <c r="AL14" s="1838"/>
      <c r="AM14" s="1838"/>
      <c r="AN14" s="1838"/>
      <c r="AO14" s="1838"/>
      <c r="AP14" s="1838"/>
      <c r="AQ14" s="1838"/>
      <c r="AR14" s="1838"/>
      <c r="AS14" s="1838"/>
      <c r="AT14" s="1838"/>
      <c r="AU14" s="1429"/>
      <c r="AV14" s="1429"/>
      <c r="AW14" s="1429"/>
      <c r="AX14" s="1429"/>
      <c r="AY14" s="1429"/>
      <c r="AZ14" s="1429"/>
      <c r="BA14" s="1429"/>
      <c r="BB14" s="1429"/>
      <c r="BC14" s="1429"/>
      <c r="BD14" s="525"/>
      <c r="BE14" s="526"/>
    </row>
    <row r="15" spans="2:57" ht="62.25" customHeight="1">
      <c r="B15" s="1836"/>
      <c r="C15" s="1429"/>
      <c r="D15" s="1429"/>
      <c r="E15" s="1429"/>
      <c r="F15" s="1429"/>
      <c r="G15" s="1429"/>
      <c r="H15" s="1429"/>
      <c r="I15" s="1429"/>
      <c r="J15" s="1429"/>
      <c r="K15" s="1838"/>
      <c r="L15" s="1838"/>
      <c r="M15" s="1838"/>
      <c r="N15" s="1838"/>
      <c r="O15" s="1838"/>
      <c r="P15" s="1838"/>
      <c r="Q15" s="1838"/>
      <c r="R15" s="1838"/>
      <c r="S15" s="1838"/>
      <c r="T15" s="1838"/>
      <c r="U15" s="1838"/>
      <c r="V15" s="1838"/>
      <c r="W15" s="1838"/>
      <c r="X15" s="1838"/>
      <c r="Y15" s="1838"/>
      <c r="Z15" s="1838"/>
      <c r="AA15" s="1838"/>
      <c r="AB15" s="1838"/>
      <c r="AC15" s="1838"/>
      <c r="AD15" s="1838"/>
      <c r="AE15" s="1838"/>
      <c r="AF15" s="1838"/>
      <c r="AG15" s="1838"/>
      <c r="AH15" s="1838"/>
      <c r="AI15" s="1838"/>
      <c r="AJ15" s="1838"/>
      <c r="AK15" s="1838"/>
      <c r="AL15" s="1838"/>
      <c r="AM15" s="1838"/>
      <c r="AN15" s="1838"/>
      <c r="AO15" s="1838"/>
      <c r="AP15" s="1838"/>
      <c r="AQ15" s="1838"/>
      <c r="AR15" s="1838"/>
      <c r="AS15" s="1838"/>
      <c r="AT15" s="1838"/>
      <c r="AU15" s="1429"/>
      <c r="AV15" s="1429"/>
      <c r="AW15" s="1429"/>
      <c r="AX15" s="1429"/>
      <c r="AY15" s="1429"/>
      <c r="AZ15" s="1429"/>
      <c r="BA15" s="1429"/>
      <c r="BB15" s="1429"/>
      <c r="BC15" s="1429"/>
      <c r="BD15" s="525"/>
      <c r="BE15" s="526"/>
    </row>
    <row r="16" spans="2:57" ht="62.25" customHeight="1">
      <c r="B16" s="1837"/>
      <c r="C16" s="1835"/>
      <c r="D16" s="1835"/>
      <c r="E16" s="1835"/>
      <c r="F16" s="1835"/>
      <c r="G16" s="1835"/>
      <c r="H16" s="1835"/>
      <c r="I16" s="1835"/>
      <c r="J16" s="1835"/>
      <c r="K16" s="1838"/>
      <c r="L16" s="1838"/>
      <c r="M16" s="1838"/>
      <c r="N16" s="1838"/>
      <c r="O16" s="1838"/>
      <c r="P16" s="1838"/>
      <c r="Q16" s="1838"/>
      <c r="R16" s="1838"/>
      <c r="S16" s="1838"/>
      <c r="T16" s="1838"/>
      <c r="U16" s="1838"/>
      <c r="V16" s="1838"/>
      <c r="W16" s="1838"/>
      <c r="X16" s="1838"/>
      <c r="Y16" s="1838"/>
      <c r="Z16" s="1838"/>
      <c r="AA16" s="1838"/>
      <c r="AB16" s="1838"/>
      <c r="AC16" s="1838"/>
      <c r="AD16" s="1838"/>
      <c r="AE16" s="1838"/>
      <c r="AF16" s="1838"/>
      <c r="AG16" s="1838"/>
      <c r="AH16" s="1838"/>
      <c r="AI16" s="1838"/>
      <c r="AJ16" s="1838"/>
      <c r="AK16" s="1838"/>
      <c r="AL16" s="1838"/>
      <c r="AM16" s="1838"/>
      <c r="AN16" s="1838"/>
      <c r="AO16" s="1838"/>
      <c r="AP16" s="1838"/>
      <c r="AQ16" s="1838"/>
      <c r="AR16" s="1838"/>
      <c r="AS16" s="1838"/>
      <c r="AT16" s="1838"/>
      <c r="AU16" s="1835"/>
      <c r="AV16" s="1835"/>
      <c r="AW16" s="1835"/>
      <c r="AX16" s="1835"/>
      <c r="AY16" s="1835"/>
      <c r="AZ16" s="1835"/>
      <c r="BA16" s="1835"/>
      <c r="BB16" s="1835"/>
      <c r="BC16" s="1835"/>
      <c r="BD16" s="525"/>
      <c r="BE16" s="526"/>
    </row>
    <row r="17" spans="2:57" ht="62.25" customHeight="1">
      <c r="B17" s="1837"/>
      <c r="C17" s="1835"/>
      <c r="D17" s="1835"/>
      <c r="E17" s="1835"/>
      <c r="F17" s="1835"/>
      <c r="G17" s="1835"/>
      <c r="H17" s="1835"/>
      <c r="I17" s="1835"/>
      <c r="J17" s="1835"/>
      <c r="K17" s="1838"/>
      <c r="L17" s="1838"/>
      <c r="M17" s="1838"/>
      <c r="N17" s="1838"/>
      <c r="O17" s="1838"/>
      <c r="P17" s="1838"/>
      <c r="Q17" s="1838"/>
      <c r="R17" s="1838"/>
      <c r="S17" s="1838"/>
      <c r="T17" s="1838"/>
      <c r="U17" s="1838"/>
      <c r="V17" s="1838"/>
      <c r="W17" s="1838"/>
      <c r="X17" s="1838"/>
      <c r="Y17" s="1838"/>
      <c r="Z17" s="1838"/>
      <c r="AA17" s="1838"/>
      <c r="AB17" s="1838"/>
      <c r="AC17" s="1838"/>
      <c r="AD17" s="1838"/>
      <c r="AE17" s="1838"/>
      <c r="AF17" s="1838"/>
      <c r="AG17" s="1838"/>
      <c r="AH17" s="1838"/>
      <c r="AI17" s="1838"/>
      <c r="AJ17" s="1838"/>
      <c r="AK17" s="1838"/>
      <c r="AL17" s="1838"/>
      <c r="AM17" s="1838"/>
      <c r="AN17" s="1838"/>
      <c r="AO17" s="1838"/>
      <c r="AP17" s="1838"/>
      <c r="AQ17" s="1838"/>
      <c r="AR17" s="1838"/>
      <c r="AS17" s="1838"/>
      <c r="AT17" s="1838"/>
      <c r="AU17" s="1835"/>
      <c r="AV17" s="1835"/>
      <c r="AW17" s="1835"/>
      <c r="AX17" s="1835"/>
      <c r="AY17" s="1835"/>
      <c r="AZ17" s="1835"/>
      <c r="BA17" s="1835"/>
      <c r="BB17" s="1835"/>
      <c r="BC17" s="1835"/>
      <c r="BD17" s="525"/>
      <c r="BE17" s="526"/>
    </row>
    <row r="18" spans="2:57" ht="62.25" customHeight="1">
      <c r="B18" s="1836"/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1429"/>
      <c r="AG18" s="1429"/>
      <c r="AH18" s="1429"/>
      <c r="AI18" s="1429"/>
      <c r="AJ18" s="1429"/>
      <c r="AK18" s="1429"/>
      <c r="AL18" s="1429"/>
      <c r="AM18" s="1429"/>
      <c r="AN18" s="1429"/>
      <c r="AO18" s="1429"/>
      <c r="AP18" s="1429"/>
      <c r="AQ18" s="1429"/>
      <c r="AR18" s="1429"/>
      <c r="AS18" s="1429"/>
      <c r="AT18" s="1429"/>
      <c r="AU18" s="1429"/>
      <c r="AV18" s="1429"/>
      <c r="AW18" s="1429"/>
      <c r="AX18" s="1429"/>
      <c r="AY18" s="1429"/>
      <c r="AZ18" s="1429"/>
      <c r="BA18" s="1429"/>
      <c r="BB18" s="1429"/>
      <c r="BC18" s="1429"/>
      <c r="BD18" s="525"/>
      <c r="BE18" s="526"/>
    </row>
    <row r="19" spans="2:57" ht="62.25" customHeight="1">
      <c r="B19" s="1836"/>
      <c r="C19" s="1429"/>
      <c r="D19" s="1429"/>
      <c r="E19" s="1429"/>
      <c r="F19" s="1429"/>
      <c r="G19" s="1429"/>
      <c r="H19" s="1429"/>
      <c r="I19" s="1429"/>
      <c r="J19" s="1429"/>
      <c r="K19" s="1429"/>
      <c r="L19" s="1429"/>
      <c r="M19" s="1429"/>
      <c r="N19" s="1429"/>
      <c r="O19" s="1429"/>
      <c r="P19" s="1429"/>
      <c r="Q19" s="1429"/>
      <c r="R19" s="1429"/>
      <c r="S19" s="1429"/>
      <c r="T19" s="1429"/>
      <c r="U19" s="1429"/>
      <c r="V19" s="1429"/>
      <c r="W19" s="1429"/>
      <c r="X19" s="1429"/>
      <c r="Y19" s="1429"/>
      <c r="Z19" s="1429"/>
      <c r="AA19" s="1429"/>
      <c r="AB19" s="1429"/>
      <c r="AC19" s="1429"/>
      <c r="AD19" s="1429"/>
      <c r="AE19" s="1429"/>
      <c r="AF19" s="1429"/>
      <c r="AG19" s="1429"/>
      <c r="AH19" s="1429"/>
      <c r="AI19" s="1429"/>
      <c r="AJ19" s="1429"/>
      <c r="AK19" s="1429"/>
      <c r="AL19" s="1429"/>
      <c r="AM19" s="1429"/>
      <c r="AN19" s="1429"/>
      <c r="AO19" s="1429"/>
      <c r="AP19" s="1429"/>
      <c r="AQ19" s="1429"/>
      <c r="AR19" s="1429"/>
      <c r="AS19" s="1429"/>
      <c r="AT19" s="1429"/>
      <c r="AU19" s="1429"/>
      <c r="AV19" s="1429"/>
      <c r="AW19" s="1429"/>
      <c r="AX19" s="1429"/>
      <c r="AY19" s="1429"/>
      <c r="AZ19" s="1429"/>
      <c r="BA19" s="1429"/>
      <c r="BB19" s="1429"/>
      <c r="BC19" s="1429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505</v>
      </c>
      <c r="K20" s="253"/>
      <c r="L20" s="253"/>
      <c r="M20" s="253"/>
      <c r="N20" s="253"/>
      <c r="O20" s="253"/>
      <c r="P20" s="1834">
        <v>1</v>
      </c>
      <c r="Q20" s="1834"/>
      <c r="R20" s="528" t="s">
        <v>357</v>
      </c>
      <c r="S20" s="1429">
        <f>REGISTROS!$AK$11</f>
        <v>0</v>
      </c>
      <c r="T20" s="1429"/>
      <c r="U20" s="1429"/>
      <c r="V20" s="321" t="s">
        <v>506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505</v>
      </c>
      <c r="K21" s="253"/>
      <c r="L21" s="253"/>
      <c r="M21" s="253"/>
      <c r="N21" s="253"/>
      <c r="O21" s="253"/>
      <c r="P21" s="1834">
        <v>2</v>
      </c>
      <c r="Q21" s="1834"/>
      <c r="R21" s="528" t="s">
        <v>357</v>
      </c>
      <c r="S21" s="1429">
        <f>REGISTROS!$AK$12</f>
        <v>0</v>
      </c>
      <c r="T21" s="1429"/>
      <c r="U21" s="1429"/>
      <c r="V21" s="321" t="s">
        <v>506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505</v>
      </c>
      <c r="K22" s="253"/>
      <c r="L22" s="253"/>
      <c r="M22" s="253"/>
      <c r="N22" s="253"/>
      <c r="O22" s="253"/>
      <c r="P22" s="1834">
        <v>3</v>
      </c>
      <c r="Q22" s="1834"/>
      <c r="R22" s="528" t="s">
        <v>357</v>
      </c>
      <c r="S22" s="1429">
        <f>REGISTROS!$AK$13</f>
        <v>0</v>
      </c>
      <c r="T22" s="1429"/>
      <c r="U22" s="1429"/>
      <c r="V22" s="321" t="s">
        <v>506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505</v>
      </c>
      <c r="K23" s="531"/>
      <c r="L23" s="531"/>
      <c r="M23" s="531"/>
      <c r="N23" s="531"/>
      <c r="O23" s="531"/>
      <c r="P23" s="1834">
        <v>4</v>
      </c>
      <c r="Q23" s="1834"/>
      <c r="R23" s="528" t="s">
        <v>357</v>
      </c>
      <c r="S23" s="1429">
        <v>0</v>
      </c>
      <c r="T23" s="1429"/>
      <c r="U23" s="1429"/>
      <c r="V23" s="321" t="s">
        <v>506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505</v>
      </c>
      <c r="K24" s="531"/>
      <c r="L24" s="531"/>
      <c r="M24" s="531"/>
      <c r="N24" s="531"/>
      <c r="O24" s="531"/>
      <c r="P24" s="1834">
        <v>5</v>
      </c>
      <c r="Q24" s="1834"/>
      <c r="R24" s="528" t="s">
        <v>357</v>
      </c>
      <c r="S24" s="1429">
        <v>0</v>
      </c>
      <c r="T24" s="1429"/>
      <c r="U24" s="1429"/>
      <c r="V24" s="321" t="s">
        <v>506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505</v>
      </c>
      <c r="K25" s="531"/>
      <c r="L25" s="531"/>
      <c r="M25" s="531"/>
      <c r="N25" s="531"/>
      <c r="O25" s="531"/>
      <c r="P25" s="1834">
        <v>6</v>
      </c>
      <c r="Q25" s="1834"/>
      <c r="R25" s="528" t="s">
        <v>357</v>
      </c>
      <c r="S25" s="1429"/>
      <c r="T25" s="1429"/>
      <c r="U25" s="1429"/>
      <c r="V25" s="321" t="s">
        <v>506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505</v>
      </c>
      <c r="K26" s="531"/>
      <c r="L26" s="531"/>
      <c r="M26" s="531"/>
      <c r="N26" s="531"/>
      <c r="O26" s="531"/>
      <c r="P26" s="1834">
        <v>7</v>
      </c>
      <c r="Q26" s="1834"/>
      <c r="R26" s="528" t="s">
        <v>357</v>
      </c>
      <c r="S26" s="1429"/>
      <c r="T26" s="1429"/>
      <c r="U26" s="1429"/>
      <c r="V26" s="321" t="s">
        <v>506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505</v>
      </c>
      <c r="K27" s="531"/>
      <c r="L27" s="531"/>
      <c r="M27" s="531"/>
      <c r="N27" s="531"/>
      <c r="O27" s="531"/>
      <c r="P27" s="1834">
        <v>8</v>
      </c>
      <c r="Q27" s="1834"/>
      <c r="R27" s="528" t="s">
        <v>357</v>
      </c>
      <c r="S27" s="1429"/>
      <c r="T27" s="1429"/>
      <c r="U27" s="1429"/>
      <c r="V27" s="321" t="s">
        <v>506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505</v>
      </c>
      <c r="K28" s="253"/>
      <c r="L28" s="253"/>
      <c r="M28" s="253"/>
      <c r="N28" s="253"/>
      <c r="O28" s="253"/>
      <c r="P28" s="1834">
        <v>9</v>
      </c>
      <c r="Q28" s="1834"/>
      <c r="R28" s="528" t="s">
        <v>357</v>
      </c>
      <c r="S28" s="1429"/>
      <c r="T28" s="1429"/>
      <c r="U28" s="1429"/>
      <c r="V28" s="321" t="s">
        <v>506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505</v>
      </c>
      <c r="P29" s="1834">
        <v>10</v>
      </c>
      <c r="Q29" s="1834"/>
      <c r="R29" s="528" t="s">
        <v>357</v>
      </c>
      <c r="S29" s="1429"/>
      <c r="T29" s="1429"/>
      <c r="U29" s="1429"/>
      <c r="V29" s="321" t="s">
        <v>506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mergeCells count="63">
    <mergeCell ref="P29:Q29"/>
    <mergeCell ref="S29:U29"/>
    <mergeCell ref="P26:Q26"/>
    <mergeCell ref="S26:U26"/>
    <mergeCell ref="P27:Q27"/>
    <mergeCell ref="S27:U27"/>
    <mergeCell ref="P28:Q28"/>
    <mergeCell ref="S28:U28"/>
    <mergeCell ref="P23:Q23"/>
    <mergeCell ref="S23:U23"/>
    <mergeCell ref="P24:Q24"/>
    <mergeCell ref="S24:U24"/>
    <mergeCell ref="P25:Q25"/>
    <mergeCell ref="S25:U25"/>
    <mergeCell ref="P20:Q20"/>
    <mergeCell ref="S20:U20"/>
    <mergeCell ref="P21:Q21"/>
    <mergeCell ref="S21:U21"/>
    <mergeCell ref="P22:Q22"/>
    <mergeCell ref="S22:U22"/>
    <mergeCell ref="AU18:BC19"/>
    <mergeCell ref="B16:J17"/>
    <mergeCell ref="K16:S17"/>
    <mergeCell ref="T16:AB17"/>
    <mergeCell ref="AC16:AK17"/>
    <mergeCell ref="AL16:AT17"/>
    <mergeCell ref="AU16:BC17"/>
    <mergeCell ref="B18:J19"/>
    <mergeCell ref="K18:S19"/>
    <mergeCell ref="T18:AB19"/>
    <mergeCell ref="AC18:AK19"/>
    <mergeCell ref="AL18:AT19"/>
    <mergeCell ref="AU14:BC15"/>
    <mergeCell ref="B12:J13"/>
    <mergeCell ref="K12:S13"/>
    <mergeCell ref="T12:AB13"/>
    <mergeCell ref="AC12:AK13"/>
    <mergeCell ref="AL12:AT13"/>
    <mergeCell ref="AU12:BC13"/>
    <mergeCell ref="B14:J15"/>
    <mergeCell ref="K14:S15"/>
    <mergeCell ref="T14:AB15"/>
    <mergeCell ref="AC14:AK15"/>
    <mergeCell ref="AL14:AT15"/>
    <mergeCell ref="AU10:BC11"/>
    <mergeCell ref="B8:J9"/>
    <mergeCell ref="K8:S9"/>
    <mergeCell ref="T8:AB9"/>
    <mergeCell ref="AC8:AK9"/>
    <mergeCell ref="AL8:AT9"/>
    <mergeCell ref="AU8:BC9"/>
    <mergeCell ref="B10:J11"/>
    <mergeCell ref="K10:S11"/>
    <mergeCell ref="T10:AB11"/>
    <mergeCell ref="AC10:AK11"/>
    <mergeCell ref="AL10:AT11"/>
    <mergeCell ref="B2:BE2"/>
    <mergeCell ref="H4:AM4"/>
    <mergeCell ref="AQ4:BD4"/>
    <mergeCell ref="G5:W5"/>
    <mergeCell ref="Z5:AC5"/>
    <mergeCell ref="AI5:AU5"/>
    <mergeCell ref="AY5:BD5"/>
  </mergeCells>
  <pageMargins left="0.9055118110236221" right="0" top="0" bottom="0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L307"/>
  <sheetViews>
    <sheetView tabSelected="1" topLeftCell="C39" zoomScale="70" zoomScaleNormal="70" workbookViewId="0">
      <selection activeCell="G101" sqref="G101"/>
    </sheetView>
  </sheetViews>
  <sheetFormatPr baseColWidth="10" defaultColWidth="11.42578125" defaultRowHeight="12.75"/>
  <cols>
    <col min="1" max="1" width="4.85546875" style="4" customWidth="1"/>
    <col min="2" max="2" width="11.42578125" style="4" customWidth="1"/>
    <col min="3" max="3" width="14.7109375" style="4" customWidth="1"/>
    <col min="4" max="4" width="9.28515625" style="4" customWidth="1"/>
    <col min="5" max="5" width="20.7109375" style="4" customWidth="1"/>
    <col min="6" max="6" width="19.5703125" style="4" customWidth="1"/>
    <col min="7" max="7" width="9" style="204" customWidth="1"/>
    <col min="8" max="8" width="12.7109375" style="4" customWidth="1"/>
    <col min="9" max="9" width="14.42578125" style="4" customWidth="1"/>
    <col min="10" max="10" width="14.28515625" style="4" customWidth="1"/>
    <col min="11" max="11" width="23.7109375" style="4" customWidth="1"/>
    <col min="12" max="12" width="16.85546875" style="4" customWidth="1"/>
    <col min="13" max="13" width="8.5703125" style="4" customWidth="1"/>
    <col min="14" max="14" width="5.7109375" style="4" customWidth="1"/>
    <col min="15" max="15" width="18.140625" style="891" hidden="1" customWidth="1"/>
    <col min="16" max="16" width="21.140625" style="549" hidden="1" customWidth="1"/>
    <col min="17" max="20" width="11.42578125" style="4" hidden="1" customWidth="1"/>
    <col min="21" max="21" width="13.5703125" style="4" hidden="1" customWidth="1"/>
    <col min="22" max="22" width="11.5703125" style="4" hidden="1" customWidth="1"/>
    <col min="23" max="23" width="11.42578125" style="4" hidden="1" customWidth="1"/>
    <col min="24" max="24" width="13.140625" style="4" hidden="1" customWidth="1"/>
    <col min="25" max="25" width="14" style="4" hidden="1" customWidth="1"/>
    <col min="26" max="28" width="11.42578125" style="4" hidden="1" customWidth="1"/>
    <col min="29" max="29" width="16.28515625" style="4" hidden="1" customWidth="1"/>
    <col min="30" max="31" width="11.42578125" style="4" hidden="1" customWidth="1"/>
    <col min="32" max="32" width="14.140625" style="50" hidden="1" customWidth="1"/>
    <col min="33" max="33" width="14" style="4" hidden="1" customWidth="1"/>
    <col min="34" max="37" width="11.42578125" style="4" hidden="1" customWidth="1"/>
    <col min="38" max="38" width="15.28515625" style="4" hidden="1" customWidth="1"/>
    <col min="39" max="39" width="14.5703125" style="4" hidden="1" customWidth="1"/>
    <col min="40" max="41" width="11.42578125" style="4" hidden="1" customWidth="1"/>
    <col min="42" max="42" width="14.85546875" style="4" hidden="1" customWidth="1"/>
    <col min="43" max="43" width="11.42578125" style="4" hidden="1" customWidth="1"/>
    <col min="44" max="44" width="13.42578125" style="4" hidden="1" customWidth="1"/>
    <col min="45" max="54" width="11.42578125" style="4" hidden="1" customWidth="1"/>
    <col min="55" max="55" width="2" style="4" hidden="1" customWidth="1"/>
    <col min="56" max="56" width="11.42578125" style="4" customWidth="1"/>
    <col min="57" max="57" width="11.42578125" style="4" hidden="1" customWidth="1"/>
    <col min="58" max="58" width="14.28515625" style="4" hidden="1" customWidth="1"/>
    <col min="59" max="59" width="11.42578125" style="4" hidden="1" customWidth="1"/>
    <col min="60" max="60" width="21.42578125" style="4" hidden="1" customWidth="1"/>
    <col min="61" max="62" width="11.42578125" style="4" hidden="1" customWidth="1"/>
    <col min="63" max="80" width="11.42578125" style="4" customWidth="1"/>
    <col min="81" max="81" width="15.7109375" style="4" customWidth="1"/>
    <col min="82" max="88" width="11.42578125" style="4" customWidth="1"/>
    <col min="89" max="16384" width="11.42578125" style="4"/>
  </cols>
  <sheetData>
    <row r="1" spans="1:60" ht="13.5" thickBo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886"/>
      <c r="Q1" s="1077" t="s">
        <v>212</v>
      </c>
      <c r="R1" s="1077"/>
      <c r="S1" s="1077"/>
      <c r="T1" s="242"/>
      <c r="U1" s="242"/>
      <c r="V1" s="242"/>
      <c r="W1" s="242"/>
      <c r="X1" s="242"/>
      <c r="Y1" s="242"/>
      <c r="Z1" s="242"/>
      <c r="AA1" s="242"/>
      <c r="AB1" s="242"/>
      <c r="AC1" s="549"/>
      <c r="AD1" s="549"/>
      <c r="AE1" s="549"/>
      <c r="AF1" s="691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</row>
    <row r="2" spans="1:60" ht="28.5" customHeight="1" thickBot="1">
      <c r="A2" s="579"/>
      <c r="B2" s="1064" t="s">
        <v>59</v>
      </c>
      <c r="C2" s="1065"/>
      <c r="D2" s="1065"/>
      <c r="E2" s="1065"/>
      <c r="F2" s="1065"/>
      <c r="G2" s="1065"/>
      <c r="H2" s="1065"/>
      <c r="I2" s="1065"/>
      <c r="J2" s="1065"/>
      <c r="K2" s="1065"/>
      <c r="L2" s="1066"/>
      <c r="M2" s="579"/>
      <c r="N2" s="579"/>
      <c r="O2" s="886"/>
    </row>
    <row r="3" spans="1:60" ht="11.25" customHeight="1" thickBot="1">
      <c r="A3" s="579"/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579"/>
      <c r="N3" s="579"/>
      <c r="O3" s="886"/>
      <c r="R3" s="4" t="s">
        <v>570</v>
      </c>
    </row>
    <row r="4" spans="1:60" ht="13.5" customHeight="1" thickBot="1">
      <c r="A4" s="579"/>
      <c r="B4" s="1040" t="s">
        <v>60</v>
      </c>
      <c r="C4" s="1041"/>
      <c r="D4" s="1041"/>
      <c r="E4" s="1041"/>
      <c r="F4" s="1041"/>
      <c r="G4" s="1053" t="s">
        <v>515</v>
      </c>
      <c r="H4" s="1054"/>
      <c r="I4" s="1054"/>
      <c r="J4" s="1054"/>
      <c r="K4" s="1054"/>
      <c r="L4" s="1055"/>
      <c r="M4" s="579"/>
      <c r="N4" s="579"/>
      <c r="O4" s="886"/>
      <c r="R4" s="4" t="s">
        <v>206</v>
      </c>
      <c r="AF4" s="156"/>
    </row>
    <row r="5" spans="1:60" ht="13.5" customHeight="1" thickBot="1">
      <c r="A5" s="579"/>
      <c r="B5" s="1075" t="s">
        <v>517</v>
      </c>
      <c r="C5" s="1076"/>
      <c r="D5" s="1076"/>
      <c r="E5" s="1076"/>
      <c r="F5" s="1076"/>
      <c r="G5" s="1053" t="s">
        <v>515</v>
      </c>
      <c r="H5" s="1054"/>
      <c r="I5" s="1054"/>
      <c r="J5" s="1054"/>
      <c r="K5" s="1054"/>
      <c r="L5" s="1055"/>
      <c r="M5" s="579"/>
      <c r="N5" s="579"/>
      <c r="O5" s="886"/>
      <c r="R5" s="4" t="s">
        <v>234</v>
      </c>
      <c r="AF5" s="156"/>
    </row>
    <row r="6" spans="1:60" ht="13.5" thickBot="1">
      <c r="A6" s="579"/>
      <c r="B6" s="1086" t="s">
        <v>614</v>
      </c>
      <c r="C6" s="1087"/>
      <c r="D6" s="1087"/>
      <c r="E6" s="1087"/>
      <c r="F6" s="1087"/>
      <c r="G6" s="1087"/>
      <c r="H6" s="1087"/>
      <c r="I6" s="1087"/>
      <c r="J6" s="1087"/>
      <c r="K6" s="1087"/>
      <c r="L6" s="1088"/>
      <c r="M6" s="579"/>
      <c r="N6" s="579"/>
      <c r="O6" s="886"/>
      <c r="R6" s="4" t="s">
        <v>235</v>
      </c>
      <c r="AF6" s="156"/>
    </row>
    <row r="7" spans="1:60" ht="13.5" customHeight="1" thickBot="1">
      <c r="A7" s="579"/>
      <c r="B7" s="1037" t="s">
        <v>620</v>
      </c>
      <c r="C7" s="1038"/>
      <c r="D7" s="1038"/>
      <c r="E7" s="1038"/>
      <c r="F7" s="1038"/>
      <c r="G7" s="1053" t="s">
        <v>515</v>
      </c>
      <c r="H7" s="1054"/>
      <c r="I7" s="1054"/>
      <c r="J7" s="1054"/>
      <c r="K7" s="1054"/>
      <c r="L7" s="1055"/>
      <c r="M7" s="579"/>
      <c r="N7" s="579"/>
      <c r="O7" s="886"/>
      <c r="R7" s="4" t="s">
        <v>210</v>
      </c>
      <c r="AF7" s="156"/>
    </row>
    <row r="8" spans="1:60" ht="13.5" customHeight="1" thickBot="1">
      <c r="A8" s="579"/>
      <c r="B8" s="1037" t="s">
        <v>229</v>
      </c>
      <c r="C8" s="1038"/>
      <c r="D8" s="1038"/>
      <c r="E8" s="1038"/>
      <c r="F8" s="1038"/>
      <c r="G8" s="1053" t="s">
        <v>515</v>
      </c>
      <c r="H8" s="1054"/>
      <c r="I8" s="1054"/>
      <c r="J8" s="1054"/>
      <c r="K8" s="1054"/>
      <c r="L8" s="1055"/>
      <c r="M8" s="579"/>
      <c r="N8" s="579"/>
      <c r="O8" s="886"/>
      <c r="R8" s="4" t="s">
        <v>211</v>
      </c>
      <c r="AF8" s="156"/>
    </row>
    <row r="9" spans="1:60" ht="13.5" customHeight="1" thickBot="1">
      <c r="A9" s="579"/>
      <c r="B9" s="1037" t="s">
        <v>231</v>
      </c>
      <c r="C9" s="1038"/>
      <c r="D9" s="1038"/>
      <c r="E9" s="1038"/>
      <c r="F9" s="1038"/>
      <c r="G9" s="1053" t="s">
        <v>515</v>
      </c>
      <c r="H9" s="1054"/>
      <c r="I9" s="1054"/>
      <c r="J9" s="1054"/>
      <c r="K9" s="1054"/>
      <c r="L9" s="1055"/>
      <c r="M9" s="579"/>
      <c r="N9" s="579"/>
      <c r="O9" s="886"/>
      <c r="R9" s="4" t="s">
        <v>213</v>
      </c>
      <c r="AF9" s="156"/>
    </row>
    <row r="10" spans="1:60" ht="13.5" customHeight="1" thickBot="1">
      <c r="A10" s="579"/>
      <c r="B10" s="1037" t="s">
        <v>232</v>
      </c>
      <c r="C10" s="1038"/>
      <c r="D10" s="1038"/>
      <c r="E10" s="1038"/>
      <c r="F10" s="1038"/>
      <c r="G10" s="1053" t="s">
        <v>515</v>
      </c>
      <c r="H10" s="1054"/>
      <c r="I10" s="1054"/>
      <c r="J10" s="1054"/>
      <c r="K10" s="1054"/>
      <c r="L10" s="1055"/>
      <c r="M10" s="579"/>
      <c r="N10" s="579"/>
      <c r="O10" s="886"/>
      <c r="R10" s="4" t="s">
        <v>268</v>
      </c>
      <c r="AF10" s="156"/>
    </row>
    <row r="11" spans="1:60" ht="13.5" customHeight="1" thickBot="1">
      <c r="A11" s="579"/>
      <c r="B11" s="1037" t="s">
        <v>367</v>
      </c>
      <c r="C11" s="1038"/>
      <c r="D11" s="1038"/>
      <c r="E11" s="1038"/>
      <c r="F11" s="1038"/>
      <c r="G11" s="1053" t="s">
        <v>515</v>
      </c>
      <c r="H11" s="1054"/>
      <c r="I11" s="1054"/>
      <c r="J11" s="1054"/>
      <c r="K11" s="1054"/>
      <c r="L11" s="1055"/>
      <c r="M11" s="579"/>
      <c r="N11" s="579"/>
      <c r="O11" s="886"/>
      <c r="R11" s="4" t="s">
        <v>207</v>
      </c>
      <c r="AF11" s="156"/>
    </row>
    <row r="12" spans="1:60" ht="13.5" customHeight="1" thickBot="1">
      <c r="A12" s="579"/>
      <c r="B12" s="1037" t="s">
        <v>368</v>
      </c>
      <c r="C12" s="1038"/>
      <c r="D12" s="1038"/>
      <c r="E12" s="1038"/>
      <c r="F12" s="1038"/>
      <c r="G12" s="1053" t="s">
        <v>515</v>
      </c>
      <c r="H12" s="1054"/>
      <c r="I12" s="1054"/>
      <c r="J12" s="1054"/>
      <c r="K12" s="1054"/>
      <c r="L12" s="1055"/>
      <c r="M12" s="579"/>
      <c r="N12" s="579"/>
      <c r="O12" s="886"/>
      <c r="R12" s="4" t="s">
        <v>310</v>
      </c>
      <c r="AF12" s="156"/>
    </row>
    <row r="13" spans="1:60" ht="13.5" customHeight="1" thickBot="1">
      <c r="A13" s="579"/>
      <c r="B13" s="1037" t="s">
        <v>151</v>
      </c>
      <c r="C13" s="1038"/>
      <c r="D13" s="1038"/>
      <c r="E13" s="1038"/>
      <c r="F13" s="1038"/>
      <c r="G13" s="1053" t="s">
        <v>515</v>
      </c>
      <c r="H13" s="1054"/>
      <c r="I13" s="1054"/>
      <c r="J13" s="1054"/>
      <c r="K13" s="1054"/>
      <c r="L13" s="1055"/>
      <c r="M13" s="579"/>
      <c r="N13" s="579"/>
      <c r="O13" s="886"/>
      <c r="R13" s="4" t="s">
        <v>320</v>
      </c>
      <c r="AF13" s="156"/>
    </row>
    <row r="14" spans="1:60" ht="13.5" customHeight="1" thickBot="1">
      <c r="A14" s="579"/>
      <c r="B14" s="1037" t="s">
        <v>370</v>
      </c>
      <c r="C14" s="1038"/>
      <c r="D14" s="1038"/>
      <c r="E14" s="1038"/>
      <c r="F14" s="1038"/>
      <c r="G14" s="1053" t="s">
        <v>515</v>
      </c>
      <c r="H14" s="1054"/>
      <c r="I14" s="1054"/>
      <c r="J14" s="1054"/>
      <c r="K14" s="1054"/>
      <c r="L14" s="1055"/>
      <c r="M14" s="579"/>
      <c r="N14" s="579"/>
      <c r="O14" s="886"/>
      <c r="R14" s="4" t="s">
        <v>267</v>
      </c>
      <c r="AF14" s="156"/>
      <c r="BH14" s="4">
        <v>24172024889</v>
      </c>
    </row>
    <row r="15" spans="1:60" ht="13.5" customHeight="1">
      <c r="A15" s="579"/>
      <c r="B15" s="1037" t="s">
        <v>369</v>
      </c>
      <c r="C15" s="1038"/>
      <c r="D15" s="1038"/>
      <c r="E15" s="1038"/>
      <c r="F15" s="1038"/>
      <c r="G15" s="1053" t="s">
        <v>515</v>
      </c>
      <c r="H15" s="1054"/>
      <c r="I15" s="1054"/>
      <c r="J15" s="1054"/>
      <c r="K15" s="1054"/>
      <c r="L15" s="1055"/>
      <c r="M15" s="579"/>
      <c r="N15" s="579"/>
      <c r="O15" s="886"/>
      <c r="R15" s="4" t="s">
        <v>265</v>
      </c>
      <c r="AF15" s="156"/>
    </row>
    <row r="16" spans="1:60" ht="13.5" customHeight="1" thickBot="1">
      <c r="A16" s="579"/>
      <c r="B16" s="1075" t="s">
        <v>622</v>
      </c>
      <c r="C16" s="1076"/>
      <c r="D16" s="1076"/>
      <c r="E16" s="1076"/>
      <c r="F16" s="1076"/>
      <c r="G16" s="1098" t="s">
        <v>667</v>
      </c>
      <c r="H16" s="1098"/>
      <c r="I16" s="1098"/>
      <c r="J16" s="1098"/>
      <c r="K16" s="1098"/>
      <c r="L16" s="1099"/>
      <c r="M16" s="579"/>
      <c r="N16" s="579"/>
      <c r="O16" s="886"/>
      <c r="R16" s="4" t="s">
        <v>208</v>
      </c>
      <c r="AF16" s="156"/>
    </row>
    <row r="17" spans="1:60" ht="13.5" thickBot="1">
      <c r="A17" s="579"/>
      <c r="B17" s="1086" t="s">
        <v>615</v>
      </c>
      <c r="C17" s="1087"/>
      <c r="D17" s="1087"/>
      <c r="E17" s="1087"/>
      <c r="F17" s="1087"/>
      <c r="G17" s="1087"/>
      <c r="H17" s="1087"/>
      <c r="I17" s="1087"/>
      <c r="J17" s="1087"/>
      <c r="K17" s="1087"/>
      <c r="L17" s="1088"/>
      <c r="M17" s="579"/>
      <c r="N17" s="579"/>
      <c r="O17" s="886"/>
      <c r="R17" s="4" t="s">
        <v>320</v>
      </c>
      <c r="AF17" s="156"/>
    </row>
    <row r="18" spans="1:60" ht="13.5" customHeight="1" thickBot="1">
      <c r="A18" s="579"/>
      <c r="B18" s="1084" t="s">
        <v>621</v>
      </c>
      <c r="C18" s="1085"/>
      <c r="D18" s="1085"/>
      <c r="E18" s="1085"/>
      <c r="F18" s="1085"/>
      <c r="G18" s="1053" t="s">
        <v>515</v>
      </c>
      <c r="H18" s="1054"/>
      <c r="I18" s="1054"/>
      <c r="J18" s="1054"/>
      <c r="K18" s="1054"/>
      <c r="L18" s="1055"/>
      <c r="M18" s="579"/>
      <c r="N18" s="579"/>
      <c r="O18" s="886"/>
      <c r="R18" s="4" t="s">
        <v>209</v>
      </c>
      <c r="AF18" s="156"/>
    </row>
    <row r="19" spans="1:60" ht="13.5" customHeight="1" thickBot="1">
      <c r="A19" s="579"/>
      <c r="B19" s="1037" t="s">
        <v>616</v>
      </c>
      <c r="C19" s="1038"/>
      <c r="D19" s="1038"/>
      <c r="E19" s="1038"/>
      <c r="F19" s="1038"/>
      <c r="G19" s="1053" t="s">
        <v>515</v>
      </c>
      <c r="H19" s="1054"/>
      <c r="I19" s="1054"/>
      <c r="J19" s="1054"/>
      <c r="K19" s="1054"/>
      <c r="L19" s="1055"/>
      <c r="M19" s="579"/>
      <c r="N19" s="579"/>
      <c r="O19" s="886"/>
      <c r="R19" s="4" t="s">
        <v>233</v>
      </c>
      <c r="AF19" s="156"/>
      <c r="BH19" s="4">
        <v>1</v>
      </c>
    </row>
    <row r="20" spans="1:60" ht="13.5" customHeight="1" thickBot="1">
      <c r="A20" s="579"/>
      <c r="B20" s="1037" t="s">
        <v>617</v>
      </c>
      <c r="C20" s="1038"/>
      <c r="D20" s="1038"/>
      <c r="E20" s="1038"/>
      <c r="F20" s="1038"/>
      <c r="G20" s="1053" t="s">
        <v>515</v>
      </c>
      <c r="H20" s="1054"/>
      <c r="I20" s="1054"/>
      <c r="J20" s="1054"/>
      <c r="K20" s="1054"/>
      <c r="L20" s="1055"/>
      <c r="M20" s="579"/>
      <c r="N20" s="579"/>
      <c r="O20" s="886"/>
      <c r="R20" s="4" t="s">
        <v>266</v>
      </c>
      <c r="AF20" s="156"/>
    </row>
    <row r="21" spans="1:60" ht="13.5" customHeight="1" thickBot="1">
      <c r="A21" s="579"/>
      <c r="B21" s="1037" t="s">
        <v>633</v>
      </c>
      <c r="C21" s="1038"/>
      <c r="D21" s="1038"/>
      <c r="E21" s="1038"/>
      <c r="F21" s="1038"/>
      <c r="G21" s="1053" t="s">
        <v>515</v>
      </c>
      <c r="H21" s="1054"/>
      <c r="I21" s="1054"/>
      <c r="J21" s="1054"/>
      <c r="K21" s="1054"/>
      <c r="L21" s="1055"/>
      <c r="M21" s="579"/>
      <c r="N21" s="579"/>
      <c r="O21" s="886"/>
      <c r="T21" s="50"/>
      <c r="U21" s="50"/>
      <c r="V21" s="50"/>
      <c r="AF21" s="156"/>
    </row>
    <row r="22" spans="1:60" ht="13.5" customHeight="1" thickBot="1">
      <c r="A22" s="579"/>
      <c r="B22" s="1037" t="s">
        <v>634</v>
      </c>
      <c r="C22" s="1038"/>
      <c r="D22" s="1038"/>
      <c r="E22" s="1038"/>
      <c r="F22" s="1038"/>
      <c r="G22" s="1053" t="s">
        <v>515</v>
      </c>
      <c r="H22" s="1054"/>
      <c r="I22" s="1054"/>
      <c r="J22" s="1054"/>
      <c r="K22" s="1054"/>
      <c r="L22" s="1055"/>
      <c r="M22" s="579"/>
      <c r="N22" s="579"/>
      <c r="O22" s="886"/>
      <c r="T22" s="50"/>
      <c r="U22" s="50"/>
      <c r="AF22" s="156"/>
      <c r="BH22" s="4" t="e">
        <f ca="1">MOD(SUM(MID(G8,ROW(INDIRECT("1:11")),1)*MID("54327654321",ROW(INDIRECT("1:11")),1)),11)=0</f>
        <v>#VALUE!</v>
      </c>
    </row>
    <row r="23" spans="1:60" ht="13.5" customHeight="1" thickBot="1">
      <c r="A23" s="579"/>
      <c r="B23" s="1037" t="s">
        <v>623</v>
      </c>
      <c r="C23" s="1038"/>
      <c r="D23" s="1038"/>
      <c r="E23" s="1038"/>
      <c r="F23" s="1038"/>
      <c r="G23" s="1053" t="s">
        <v>515</v>
      </c>
      <c r="H23" s="1054"/>
      <c r="I23" s="1054"/>
      <c r="J23" s="1054"/>
      <c r="K23" s="1054"/>
      <c r="L23" s="1055"/>
      <c r="M23" s="579"/>
      <c r="N23" s="579"/>
      <c r="O23" s="886"/>
      <c r="T23" s="50"/>
      <c r="U23" s="50"/>
      <c r="AF23" s="156"/>
    </row>
    <row r="24" spans="1:60" ht="13.5" customHeight="1">
      <c r="A24" s="579"/>
      <c r="B24" s="1037" t="s">
        <v>151</v>
      </c>
      <c r="C24" s="1038"/>
      <c r="D24" s="1038"/>
      <c r="E24" s="1038"/>
      <c r="F24" s="1038"/>
      <c r="G24" s="1053" t="s">
        <v>515</v>
      </c>
      <c r="H24" s="1054"/>
      <c r="I24" s="1054"/>
      <c r="J24" s="1054"/>
      <c r="K24" s="1054"/>
      <c r="L24" s="1055"/>
      <c r="M24" s="579"/>
      <c r="N24" s="579"/>
      <c r="O24" s="886"/>
      <c r="R24" s="1094" t="s">
        <v>269</v>
      </c>
      <c r="S24" s="1095"/>
      <c r="T24" s="1096"/>
      <c r="AF24" s="156"/>
    </row>
    <row r="25" spans="1:60" ht="13.5" customHeight="1" thickBot="1">
      <c r="A25" s="579"/>
      <c r="B25" s="1075" t="s">
        <v>626</v>
      </c>
      <c r="C25" s="1076"/>
      <c r="D25" s="1076"/>
      <c r="E25" s="1076"/>
      <c r="F25" s="1076"/>
      <c r="G25" s="1100" t="s">
        <v>667</v>
      </c>
      <c r="H25" s="1101"/>
      <c r="I25" s="1101"/>
      <c r="J25" s="1101"/>
      <c r="K25" s="1101"/>
      <c r="L25" s="1102"/>
      <c r="M25" s="579"/>
      <c r="N25" s="579"/>
      <c r="O25" s="886"/>
      <c r="R25" s="334" t="s">
        <v>515</v>
      </c>
      <c r="S25" s="66"/>
      <c r="T25" s="335"/>
      <c r="AF25" s="156"/>
    </row>
    <row r="26" spans="1:60" ht="13.5" thickBot="1">
      <c r="A26" s="579"/>
      <c r="B26" s="1086" t="s">
        <v>618</v>
      </c>
      <c r="C26" s="1087"/>
      <c r="D26" s="1087"/>
      <c r="E26" s="1087"/>
      <c r="F26" s="1087"/>
      <c r="G26" s="1087"/>
      <c r="H26" s="1087"/>
      <c r="I26" s="1087"/>
      <c r="J26" s="1087"/>
      <c r="K26" s="1087"/>
      <c r="L26" s="1088"/>
      <c r="M26" s="579"/>
      <c r="N26" s="579"/>
      <c r="O26" s="886"/>
      <c r="R26" s="334" t="s">
        <v>321</v>
      </c>
      <c r="S26" s="66"/>
      <c r="T26" s="335"/>
      <c r="AF26" s="156"/>
    </row>
    <row r="27" spans="1:60" ht="13.5" customHeight="1" thickBot="1">
      <c r="A27" s="579"/>
      <c r="B27" s="1084" t="s">
        <v>627</v>
      </c>
      <c r="C27" s="1085"/>
      <c r="D27" s="1085"/>
      <c r="E27" s="1085"/>
      <c r="F27" s="1085"/>
      <c r="G27" s="1053" t="s">
        <v>515</v>
      </c>
      <c r="H27" s="1054"/>
      <c r="I27" s="1054"/>
      <c r="J27" s="1054"/>
      <c r="K27" s="1054"/>
      <c r="L27" s="1055"/>
      <c r="M27" s="579"/>
      <c r="N27" s="579"/>
      <c r="O27" s="886"/>
      <c r="R27" s="334" t="s">
        <v>353</v>
      </c>
      <c r="S27" s="66"/>
      <c r="T27" s="335"/>
      <c r="AF27" s="156"/>
    </row>
    <row r="28" spans="1:60" ht="13.5" customHeight="1" thickBot="1">
      <c r="A28" s="579"/>
      <c r="B28" s="1037" t="s">
        <v>368</v>
      </c>
      <c r="C28" s="1038"/>
      <c r="D28" s="1038"/>
      <c r="E28" s="1038"/>
      <c r="F28" s="1038"/>
      <c r="G28" s="1053" t="s">
        <v>515</v>
      </c>
      <c r="H28" s="1054"/>
      <c r="I28" s="1054"/>
      <c r="J28" s="1054"/>
      <c r="K28" s="1054"/>
      <c r="L28" s="1055"/>
      <c r="M28" s="579"/>
      <c r="N28" s="579"/>
      <c r="O28" s="886"/>
      <c r="R28" s="334" t="s">
        <v>354</v>
      </c>
      <c r="S28" s="66"/>
      <c r="T28" s="335"/>
      <c r="AF28" s="156"/>
    </row>
    <row r="29" spans="1:60" ht="13.5" customHeight="1" thickBot="1">
      <c r="A29" s="579"/>
      <c r="B29" s="1037" t="s">
        <v>151</v>
      </c>
      <c r="C29" s="1038"/>
      <c r="D29" s="1038"/>
      <c r="E29" s="1038"/>
      <c r="F29" s="1038"/>
      <c r="G29" s="1053" t="s">
        <v>515</v>
      </c>
      <c r="H29" s="1054"/>
      <c r="I29" s="1054"/>
      <c r="J29" s="1054"/>
      <c r="K29" s="1054"/>
      <c r="L29" s="1055"/>
      <c r="M29" s="579"/>
      <c r="N29" s="579"/>
      <c r="O29" s="886"/>
      <c r="R29" s="334" t="s">
        <v>322</v>
      </c>
      <c r="S29" s="66"/>
      <c r="T29" s="335"/>
      <c r="V29" s="744" t="s">
        <v>585</v>
      </c>
      <c r="AF29" s="156"/>
    </row>
    <row r="30" spans="1:60" ht="13.5" customHeight="1" thickBot="1">
      <c r="A30" s="579"/>
      <c r="B30" s="1037" t="s">
        <v>370</v>
      </c>
      <c r="C30" s="1038"/>
      <c r="D30" s="1038"/>
      <c r="E30" s="1038"/>
      <c r="F30" s="1038"/>
      <c r="G30" s="1053" t="s">
        <v>515</v>
      </c>
      <c r="H30" s="1054"/>
      <c r="I30" s="1054"/>
      <c r="J30" s="1054"/>
      <c r="K30" s="1054"/>
      <c r="L30" s="1055"/>
      <c r="M30" s="579"/>
      <c r="N30" s="579"/>
      <c r="O30" s="886"/>
      <c r="R30" s="334" t="s">
        <v>355</v>
      </c>
      <c r="S30" s="66"/>
      <c r="T30" s="335"/>
      <c r="V30" s="745">
        <f>IF(G32="#",0,1)</f>
        <v>0</v>
      </c>
      <c r="AF30" s="156"/>
    </row>
    <row r="31" spans="1:60" ht="13.5" customHeight="1">
      <c r="A31" s="579"/>
      <c r="B31" s="1037" t="s">
        <v>628</v>
      </c>
      <c r="C31" s="1038"/>
      <c r="D31" s="1038"/>
      <c r="E31" s="1038"/>
      <c r="F31" s="1038"/>
      <c r="G31" s="1053" t="s">
        <v>515</v>
      </c>
      <c r="H31" s="1054"/>
      <c r="I31" s="1054"/>
      <c r="J31" s="1054"/>
      <c r="K31" s="1054"/>
      <c r="L31" s="1055"/>
      <c r="M31" s="579"/>
      <c r="N31" s="579"/>
      <c r="O31" s="886"/>
      <c r="R31" s="334" t="s">
        <v>356</v>
      </c>
      <c r="S31" s="66"/>
      <c r="T31" s="335"/>
      <c r="V31" s="745">
        <f>IF(G33="#",0,1)</f>
        <v>0</v>
      </c>
      <c r="AB31" s="49"/>
      <c r="AF31" s="156"/>
    </row>
    <row r="32" spans="1:60" ht="13.5" customHeight="1">
      <c r="A32" s="579"/>
      <c r="B32" s="1037" t="s">
        <v>182</v>
      </c>
      <c r="C32" s="1038"/>
      <c r="D32" s="1038"/>
      <c r="E32" s="1038"/>
      <c r="F32" s="1038"/>
      <c r="G32" s="813" t="s">
        <v>515</v>
      </c>
      <c r="H32" s="1078" t="str">
        <f>IF(V35&lt;4,"VERIFIQUE LOS DATOS CATASTRALES ANTES DE CONTINUAR","  ")</f>
        <v>VERIFIQUE LOS DATOS CATASTRALES ANTES DE CONTINUAR</v>
      </c>
      <c r="I32" s="1079"/>
      <c r="J32" s="1079"/>
      <c r="K32" s="1079"/>
      <c r="L32" s="1080"/>
      <c r="M32" s="579"/>
      <c r="N32" s="579"/>
      <c r="O32" s="886"/>
      <c r="R32" s="334" t="s">
        <v>323</v>
      </c>
      <c r="S32" s="66"/>
      <c r="T32" s="335"/>
      <c r="V32" s="745">
        <f>IF(G34="#",0,1)</f>
        <v>0</v>
      </c>
      <c r="AF32" s="156"/>
    </row>
    <row r="33" spans="1:38" ht="13.5" customHeight="1">
      <c r="A33" s="579"/>
      <c r="B33" s="1037" t="s">
        <v>61</v>
      </c>
      <c r="C33" s="1038"/>
      <c r="D33" s="1038"/>
      <c r="E33" s="1038"/>
      <c r="F33" s="1038"/>
      <c r="G33" s="813" t="s">
        <v>515</v>
      </c>
      <c r="H33" s="1078"/>
      <c r="I33" s="1079"/>
      <c r="J33" s="1079"/>
      <c r="K33" s="1079"/>
      <c r="L33" s="1080"/>
      <c r="M33" s="579"/>
      <c r="N33" s="579"/>
      <c r="O33" s="886"/>
      <c r="R33" s="334" t="s">
        <v>324</v>
      </c>
      <c r="S33" s="66"/>
      <c r="T33" s="335"/>
      <c r="V33" s="745">
        <f>IF(G35="#",0,1)</f>
        <v>0</v>
      </c>
      <c r="AF33" s="156"/>
    </row>
    <row r="34" spans="1:38" ht="13.5" customHeight="1">
      <c r="A34" s="579"/>
      <c r="B34" s="1037" t="s">
        <v>62</v>
      </c>
      <c r="C34" s="1038"/>
      <c r="D34" s="1038"/>
      <c r="E34" s="1038"/>
      <c r="F34" s="1038"/>
      <c r="G34" s="813" t="s">
        <v>515</v>
      </c>
      <c r="H34" s="1078"/>
      <c r="I34" s="1079"/>
      <c r="J34" s="1079"/>
      <c r="K34" s="1079"/>
      <c r="L34" s="1080"/>
      <c r="M34" s="579"/>
      <c r="N34" s="579"/>
      <c r="O34" s="886"/>
      <c r="R34" s="334" t="s">
        <v>270</v>
      </c>
      <c r="S34" s="66"/>
      <c r="T34" s="335"/>
      <c r="V34" s="745">
        <f>IF(G36="#",0,1)</f>
        <v>0</v>
      </c>
      <c r="AF34" s="156"/>
    </row>
    <row r="35" spans="1:38" s="71" customFormat="1" ht="13.5" customHeight="1" thickBot="1">
      <c r="A35" s="579"/>
      <c r="B35" s="1037" t="s">
        <v>63</v>
      </c>
      <c r="C35" s="1038"/>
      <c r="D35" s="1038"/>
      <c r="E35" s="1038"/>
      <c r="F35" s="1038"/>
      <c r="G35" s="813" t="s">
        <v>515</v>
      </c>
      <c r="H35" s="1081"/>
      <c r="I35" s="1082"/>
      <c r="J35" s="1082"/>
      <c r="K35" s="1082"/>
      <c r="L35" s="1083"/>
      <c r="M35" s="579"/>
      <c r="N35" s="579"/>
      <c r="O35" s="886"/>
      <c r="P35" s="549"/>
      <c r="R35" s="678"/>
      <c r="S35" s="52"/>
      <c r="T35" s="679"/>
      <c r="V35" s="746">
        <f>SUM(V30:V34)</f>
        <v>0</v>
      </c>
      <c r="AF35" s="156"/>
    </row>
    <row r="36" spans="1:38" ht="13.5" customHeight="1">
      <c r="A36" s="579"/>
      <c r="B36" s="1037" t="s">
        <v>64</v>
      </c>
      <c r="C36" s="1038"/>
      <c r="D36" s="1038"/>
      <c r="E36" s="1038"/>
      <c r="F36" s="1038"/>
      <c r="G36" s="813" t="s">
        <v>515</v>
      </c>
      <c r="H36" s="1110" t="s">
        <v>527</v>
      </c>
      <c r="I36" s="1111"/>
      <c r="J36" s="1111"/>
      <c r="K36" s="1111"/>
      <c r="L36" s="1112"/>
      <c r="M36" s="579"/>
      <c r="N36" s="579"/>
      <c r="O36" s="886"/>
      <c r="P36" s="550"/>
      <c r="R36" s="674"/>
      <c r="S36" s="680"/>
      <c r="T36" s="43"/>
      <c r="AF36" s="156"/>
    </row>
    <row r="37" spans="1:38" ht="13.5" customHeight="1">
      <c r="A37" s="579"/>
      <c r="B37" s="1037" t="s">
        <v>447</v>
      </c>
      <c r="C37" s="1038"/>
      <c r="D37" s="1038"/>
      <c r="E37" s="1038"/>
      <c r="F37" s="1038"/>
      <c r="G37" s="813" t="s">
        <v>515</v>
      </c>
      <c r="H37" s="1113"/>
      <c r="I37" s="1114"/>
      <c r="J37" s="1114"/>
      <c r="K37" s="1114"/>
      <c r="L37" s="1115"/>
      <c r="M37" s="579"/>
      <c r="N37" s="579"/>
      <c r="O37" s="886"/>
      <c r="AF37" s="156"/>
    </row>
    <row r="38" spans="1:38" ht="13.5" customHeight="1" thickBot="1">
      <c r="A38" s="579"/>
      <c r="B38" s="1075" t="s">
        <v>184</v>
      </c>
      <c r="C38" s="1076"/>
      <c r="D38" s="1076"/>
      <c r="E38" s="1076"/>
      <c r="F38" s="1076"/>
      <c r="G38" s="813" t="s">
        <v>515</v>
      </c>
      <c r="H38" s="1113"/>
      <c r="I38" s="1114"/>
      <c r="J38" s="1114"/>
      <c r="K38" s="1114"/>
      <c r="L38" s="1115"/>
      <c r="M38" s="579"/>
      <c r="N38" s="579"/>
      <c r="O38" s="886"/>
      <c r="AF38" s="156"/>
    </row>
    <row r="39" spans="1:38" ht="13.5" customHeight="1">
      <c r="A39" s="579"/>
      <c r="B39" s="1130" t="str">
        <f>IF(V35&lt;4,"ERROR","  ")</f>
        <v>ERROR</v>
      </c>
      <c r="C39" s="1131"/>
      <c r="D39" s="1131"/>
      <c r="E39" s="1131"/>
      <c r="F39" s="1131"/>
      <c r="G39" s="1132"/>
      <c r="H39" s="1113"/>
      <c r="I39" s="1114"/>
      <c r="J39" s="1114"/>
      <c r="K39" s="1114"/>
      <c r="L39" s="1115"/>
      <c r="M39" s="579"/>
      <c r="N39" s="579"/>
      <c r="O39" s="886"/>
      <c r="T39" s="53"/>
      <c r="U39" s="71"/>
      <c r="V39" s="71"/>
      <c r="W39" s="71"/>
      <c r="X39" s="71"/>
      <c r="AF39" s="156"/>
    </row>
    <row r="40" spans="1:38" ht="13.5" customHeight="1" thickBot="1">
      <c r="A40" s="579"/>
      <c r="B40" s="1133"/>
      <c r="C40" s="1134"/>
      <c r="D40" s="1134"/>
      <c r="E40" s="1134"/>
      <c r="F40" s="1134"/>
      <c r="G40" s="1135"/>
      <c r="H40" s="1116"/>
      <c r="I40" s="1117"/>
      <c r="J40" s="1117"/>
      <c r="K40" s="1117"/>
      <c r="L40" s="1118"/>
      <c r="M40" s="579"/>
      <c r="N40" s="579"/>
      <c r="O40" s="886"/>
      <c r="T40" s="53"/>
      <c r="U40" s="71"/>
      <c r="V40" s="71"/>
      <c r="W40" s="71"/>
      <c r="X40" s="71"/>
      <c r="AF40" s="156"/>
    </row>
    <row r="41" spans="1:38" ht="13.5" customHeight="1" thickBot="1">
      <c r="A41" s="579"/>
      <c r="B41" s="1086" t="s">
        <v>619</v>
      </c>
      <c r="C41" s="1087"/>
      <c r="D41" s="1087"/>
      <c r="E41" s="1087"/>
      <c r="F41" s="1087"/>
      <c r="G41" s="1087"/>
      <c r="H41" s="1087"/>
      <c r="I41" s="1087"/>
      <c r="J41" s="1087"/>
      <c r="K41" s="1087"/>
      <c r="L41" s="1088"/>
      <c r="M41" s="579"/>
      <c r="N41" s="579"/>
      <c r="O41" s="886"/>
      <c r="Q41" s="344"/>
      <c r="R41" s="345" t="s">
        <v>319</v>
      </c>
      <c r="S41" s="345"/>
      <c r="T41" s="544"/>
      <c r="U41" s="71"/>
      <c r="V41" s="71"/>
      <c r="X41" s="71"/>
      <c r="AF41" s="156"/>
    </row>
    <row r="42" spans="1:38" ht="13.5" customHeight="1">
      <c r="A42" s="579"/>
      <c r="B42" s="1037" t="s">
        <v>65</v>
      </c>
      <c r="C42" s="1038"/>
      <c r="D42" s="1038"/>
      <c r="E42" s="1038"/>
      <c r="F42" s="1039"/>
      <c r="G42" s="1067" t="s">
        <v>253</v>
      </c>
      <c r="H42" s="1067"/>
      <c r="I42" s="1067"/>
      <c r="J42" s="1067"/>
      <c r="K42" s="1067"/>
      <c r="L42" s="1068"/>
      <c r="M42" s="579"/>
      <c r="N42" s="579"/>
      <c r="O42" s="886"/>
      <c r="Q42" s="340"/>
      <c r="R42" s="338" t="s">
        <v>228</v>
      </c>
      <c r="S42" s="66"/>
      <c r="T42" s="545"/>
      <c r="U42" s="71"/>
      <c r="V42" s="71"/>
      <c r="X42" s="71"/>
    </row>
    <row r="43" spans="1:38" ht="13.5" customHeight="1">
      <c r="A43" s="579"/>
      <c r="B43" s="1075" t="s">
        <v>66</v>
      </c>
      <c r="C43" s="1076"/>
      <c r="D43" s="1076"/>
      <c r="E43" s="1076"/>
      <c r="F43" s="1089"/>
      <c r="G43" s="1098" t="s">
        <v>668</v>
      </c>
      <c r="H43" s="1098"/>
      <c r="I43" s="1098"/>
      <c r="J43" s="1098"/>
      <c r="K43" s="1098"/>
      <c r="L43" s="1099"/>
      <c r="M43" s="579"/>
      <c r="N43" s="579"/>
      <c r="O43" s="886"/>
      <c r="Q43" s="340"/>
      <c r="R43" s="338" t="s">
        <v>317</v>
      </c>
      <c r="S43" s="66"/>
      <c r="T43" s="341"/>
      <c r="U43" s="71"/>
      <c r="V43" s="71"/>
      <c r="X43" s="71"/>
    </row>
    <row r="44" spans="1:38" ht="13.5" customHeight="1">
      <c r="A44" s="579"/>
      <c r="B44" s="1090"/>
      <c r="C44" s="1091"/>
      <c r="D44" s="1091"/>
      <c r="E44" s="1091"/>
      <c r="F44" s="1092"/>
      <c r="G44" s="1098" t="s">
        <v>669</v>
      </c>
      <c r="H44" s="1098"/>
      <c r="I44" s="1098"/>
      <c r="J44" s="1098"/>
      <c r="K44" s="1098"/>
      <c r="L44" s="1099"/>
      <c r="M44" s="579"/>
      <c r="N44" s="579"/>
      <c r="O44" s="886"/>
      <c r="Q44" s="340"/>
      <c r="R44" s="338" t="s">
        <v>315</v>
      </c>
      <c r="S44" s="66"/>
      <c r="T44" s="341"/>
      <c r="U44" s="71"/>
      <c r="V44" s="743"/>
      <c r="X44" s="71"/>
      <c r="Y44" s="1074"/>
      <c r="Z44" s="1074"/>
    </row>
    <row r="45" spans="1:38" s="154" customFormat="1" ht="13.5" customHeight="1">
      <c r="A45" s="579"/>
      <c r="B45" s="1084"/>
      <c r="C45" s="1085"/>
      <c r="D45" s="1085"/>
      <c r="E45" s="1085"/>
      <c r="F45" s="1093"/>
      <c r="G45" s="1097"/>
      <c r="H45" s="1067"/>
      <c r="I45" s="1067"/>
      <c r="J45" s="1067"/>
      <c r="K45" s="1067"/>
      <c r="L45" s="1068"/>
      <c r="M45" s="579"/>
      <c r="N45" s="579"/>
      <c r="O45" s="886"/>
      <c r="P45" s="551"/>
      <c r="Q45" s="546"/>
      <c r="R45" s="535"/>
      <c r="S45" s="535"/>
      <c r="T45" s="536"/>
      <c r="U45" s="739"/>
      <c r="V45" s="739"/>
      <c r="X45" s="739"/>
      <c r="Y45" s="1073"/>
      <c r="Z45" s="1073"/>
    </row>
    <row r="46" spans="1:38" ht="13.5" customHeight="1" thickBot="1">
      <c r="A46" s="579"/>
      <c r="B46" s="1037" t="s">
        <v>67</v>
      </c>
      <c r="C46" s="1038"/>
      <c r="D46" s="1038"/>
      <c r="E46" s="1038"/>
      <c r="F46" s="1039"/>
      <c r="G46" s="1098" t="s">
        <v>515</v>
      </c>
      <c r="H46" s="1098"/>
      <c r="I46" s="1098"/>
      <c r="J46" s="1098"/>
      <c r="K46" s="1098"/>
      <c r="L46" s="1099"/>
      <c r="M46" s="579"/>
      <c r="N46" s="579"/>
      <c r="O46" s="886"/>
      <c r="Q46" s="346"/>
      <c r="R46" s="342"/>
      <c r="S46" s="342"/>
      <c r="T46" s="343"/>
      <c r="U46" s="71"/>
      <c r="V46" s="743"/>
      <c r="X46" s="71"/>
      <c r="Y46" s="1036"/>
      <c r="Z46" s="1036"/>
      <c r="AE46" s="71"/>
      <c r="AF46" s="156"/>
      <c r="AG46" s="71"/>
      <c r="AH46" s="71"/>
      <c r="AI46" s="71"/>
      <c r="AJ46" s="71"/>
      <c r="AK46" s="71"/>
      <c r="AL46" s="71"/>
    </row>
    <row r="47" spans="1:38" ht="13.5" customHeight="1">
      <c r="A47" s="579"/>
      <c r="B47" s="1037" t="s">
        <v>178</v>
      </c>
      <c r="C47" s="1038"/>
      <c r="D47" s="1038"/>
      <c r="E47" s="1038"/>
      <c r="F47" s="1039"/>
      <c r="G47" s="1067" t="s">
        <v>317</v>
      </c>
      <c r="H47" s="1067"/>
      <c r="I47" s="1067"/>
      <c r="J47" s="1067"/>
      <c r="K47" s="1067"/>
      <c r="L47" s="1068"/>
      <c r="M47" s="579"/>
      <c r="N47" s="579"/>
      <c r="O47" s="886"/>
      <c r="U47" s="71"/>
      <c r="V47" s="743"/>
      <c r="W47" s="743"/>
      <c r="X47" s="71"/>
      <c r="Y47" s="1050"/>
      <c r="Z47" s="1050"/>
      <c r="AE47" s="71"/>
      <c r="AF47" s="156"/>
      <c r="AG47" s="71"/>
      <c r="AH47" s="71"/>
      <c r="AI47" s="71"/>
      <c r="AJ47" s="71"/>
      <c r="AK47" s="71"/>
      <c r="AL47" s="71"/>
    </row>
    <row r="48" spans="1:38" ht="13.5" customHeight="1">
      <c r="A48" s="579"/>
      <c r="B48" s="1037" t="str">
        <f>IF(G47="AMPLIATORIO","FECHA del CONTRATO ORIGINAL (DD-MM-AA) ","   ")</f>
        <v xml:space="preserve">   </v>
      </c>
      <c r="C48" s="1038"/>
      <c r="D48" s="1038"/>
      <c r="E48" s="1038"/>
      <c r="F48" s="1039"/>
      <c r="G48" s="1128"/>
      <c r="H48" s="1128"/>
      <c r="I48" s="1128"/>
      <c r="J48" s="1128"/>
      <c r="K48" s="1128"/>
      <c r="L48" s="1129"/>
      <c r="M48" s="579"/>
      <c r="N48" s="579"/>
      <c r="O48" s="886"/>
      <c r="U48" s="71"/>
      <c r="V48" s="71"/>
      <c r="W48" s="71"/>
      <c r="X48" s="71"/>
      <c r="AE48" s="71"/>
      <c r="AF48" s="71"/>
      <c r="AG48" s="71"/>
      <c r="AH48" s="71"/>
      <c r="AI48" s="71"/>
      <c r="AJ48" s="738"/>
      <c r="AK48" s="692"/>
      <c r="AL48" s="71"/>
    </row>
    <row r="49" spans="1:38" ht="13.5" customHeight="1" thickBot="1">
      <c r="A49" s="579"/>
      <c r="B49" s="1037" t="str">
        <f>IF(G47="AMPLIATORIO","FACTOR DE CORRECCION DEL CONTRATO ORIGINAL ","   ")</f>
        <v xml:space="preserve">   </v>
      </c>
      <c r="C49" s="1038"/>
      <c r="D49" s="1038"/>
      <c r="E49" s="1038"/>
      <c r="F49" s="1039"/>
      <c r="G49" s="1142"/>
      <c r="H49" s="1142"/>
      <c r="I49" s="1142"/>
      <c r="J49" s="1142"/>
      <c r="K49" s="1142"/>
      <c r="L49" s="1143"/>
      <c r="M49" s="579"/>
      <c r="N49" s="579"/>
      <c r="O49" s="886"/>
      <c r="AE49" s="71"/>
      <c r="AF49" s="71"/>
      <c r="AG49" s="71"/>
      <c r="AH49" s="71"/>
      <c r="AI49" s="71"/>
      <c r="AJ49" s="738"/>
      <c r="AK49" s="692"/>
      <c r="AL49" s="71"/>
    </row>
    <row r="50" spans="1:38" ht="13.5" customHeight="1">
      <c r="A50" s="579"/>
      <c r="B50" s="1037" t="str">
        <f>IF(G47="AMPLIATORIO","MONTO EN PESOS DEL CONTRATO ORIGINAL ","   ")</f>
        <v xml:space="preserve">   </v>
      </c>
      <c r="C50" s="1038"/>
      <c r="D50" s="1038"/>
      <c r="E50" s="1038"/>
      <c r="F50" s="1039"/>
      <c r="G50" s="1048"/>
      <c r="H50" s="1048"/>
      <c r="I50" s="1048"/>
      <c r="J50" s="1048"/>
      <c r="K50" s="1048"/>
      <c r="L50" s="1049"/>
      <c r="M50" s="577"/>
      <c r="N50" s="579"/>
      <c r="O50" s="886"/>
      <c r="Q50" s="547" t="s">
        <v>524</v>
      </c>
      <c r="R50" s="522"/>
      <c r="S50" s="542"/>
      <c r="T50" s="339"/>
      <c r="V50" s="563"/>
      <c r="W50" s="345"/>
      <c r="X50" s="345"/>
      <c r="Y50" s="345" t="s">
        <v>525</v>
      </c>
      <c r="Z50" s="345"/>
      <c r="AA50" s="345"/>
      <c r="AB50" s="339"/>
      <c r="AE50" s="71"/>
      <c r="AF50" s="71"/>
      <c r="AG50" s="71"/>
      <c r="AH50" s="71"/>
      <c r="AI50" s="71"/>
      <c r="AJ50" s="738"/>
      <c r="AK50" s="71"/>
      <c r="AL50" s="71"/>
    </row>
    <row r="51" spans="1:38" ht="13.5" customHeight="1" thickBot="1">
      <c r="A51" s="579"/>
      <c r="B51" s="1037" t="s">
        <v>535</v>
      </c>
      <c r="C51" s="1038"/>
      <c r="D51" s="1038"/>
      <c r="E51" s="1038"/>
      <c r="F51" s="1038"/>
      <c r="G51" s="1048" t="s">
        <v>321</v>
      </c>
      <c r="H51" s="1048"/>
      <c r="I51" s="1048"/>
      <c r="J51" s="1048"/>
      <c r="K51" s="1048"/>
      <c r="L51" s="1049"/>
      <c r="M51" s="579"/>
      <c r="N51" s="579"/>
      <c r="O51" s="886"/>
      <c r="Q51" s="1051" t="str">
        <f>IF(G47="ORIGINARIO","   ",G48)</f>
        <v xml:space="preserve">   </v>
      </c>
      <c r="R51" s="1052"/>
      <c r="S51" s="520"/>
      <c r="T51" s="341"/>
      <c r="V51" s="340"/>
      <c r="W51" s="564" t="s">
        <v>71</v>
      </c>
      <c r="X51" s="66"/>
      <c r="Y51" s="66"/>
      <c r="Z51" s="66"/>
      <c r="AA51" s="66"/>
      <c r="AB51" s="341"/>
      <c r="AE51" s="71"/>
      <c r="AF51" s="690"/>
      <c r="AG51" s="52"/>
      <c r="AH51" s="71"/>
      <c r="AI51" s="71"/>
      <c r="AJ51" s="738"/>
      <c r="AK51" s="692"/>
      <c r="AL51" s="71"/>
    </row>
    <row r="52" spans="1:38" ht="13.5" customHeight="1" thickBot="1">
      <c r="A52" s="579"/>
      <c r="B52" s="1037" t="s">
        <v>68</v>
      </c>
      <c r="C52" s="1038"/>
      <c r="D52" s="1038"/>
      <c r="E52" s="1038"/>
      <c r="F52" s="1039"/>
      <c r="G52" s="1053" t="s">
        <v>515</v>
      </c>
      <c r="H52" s="1054"/>
      <c r="I52" s="1054"/>
      <c r="J52" s="1054"/>
      <c r="K52" s="1054"/>
      <c r="L52" s="1055"/>
      <c r="M52" s="579"/>
      <c r="N52" s="579"/>
      <c r="O52" s="886"/>
      <c r="Q52" s="1069" t="str">
        <f>$Q$51</f>
        <v xml:space="preserve">   </v>
      </c>
      <c r="R52" s="1070"/>
      <c r="S52" s="548"/>
      <c r="T52" s="343"/>
      <c r="V52" s="565" t="s">
        <v>73</v>
      </c>
      <c r="W52" s="564" t="s">
        <v>74</v>
      </c>
      <c r="X52" s="564" t="s">
        <v>75</v>
      </c>
      <c r="Y52" s="564" t="s">
        <v>76</v>
      </c>
      <c r="Z52" s="564" t="s">
        <v>77</v>
      </c>
      <c r="AA52" s="564" t="s">
        <v>78</v>
      </c>
      <c r="AB52" s="341"/>
      <c r="AE52" s="71"/>
      <c r="AF52" s="71"/>
      <c r="AG52" s="71"/>
      <c r="AH52" s="71"/>
      <c r="AI52" s="71"/>
      <c r="AJ52" s="738"/>
      <c r="AK52" s="71"/>
      <c r="AL52" s="71"/>
    </row>
    <row r="53" spans="1:38" ht="13.5" customHeight="1">
      <c r="A53" s="579"/>
      <c r="B53" s="1037" t="s">
        <v>249</v>
      </c>
      <c r="C53" s="1038"/>
      <c r="D53" s="1038"/>
      <c r="E53" s="1038"/>
      <c r="F53" s="1039"/>
      <c r="G53" s="1053" t="s">
        <v>515</v>
      </c>
      <c r="H53" s="1054"/>
      <c r="I53" s="1054"/>
      <c r="J53" s="1054"/>
      <c r="K53" s="1054"/>
      <c r="L53" s="1055"/>
      <c r="M53" s="579"/>
      <c r="N53" s="579"/>
      <c r="O53" s="886"/>
      <c r="Q53" s="547" t="s">
        <v>516</v>
      </c>
      <c r="R53" s="522"/>
      <c r="S53" s="543"/>
      <c r="V53" s="566" t="s">
        <v>80</v>
      </c>
      <c r="W53" s="253">
        <f>IF(AND($F$68&lt;=5,$F$70&lt;=5),1.3,X53)</f>
        <v>1.3</v>
      </c>
      <c r="X53" s="253">
        <f>IF(AND($F$68&lt;=5,$F$70&lt;=11),1.48,Y53)</f>
        <v>1.48</v>
      </c>
      <c r="Y53" s="253">
        <f>IF(AND($F$68&lt;=5,$F$70&lt;=20),1.59,Z53)</f>
        <v>1.59</v>
      </c>
      <c r="Z53" s="253">
        <f>IF(AND($F$68&lt;=5,$F$70&lt;=50),1.65,AA53)</f>
        <v>1.65</v>
      </c>
      <c r="AA53" s="253">
        <f>IF(AND($F$68&lt;=5,$F$70&gt;50),1.69,W54)</f>
        <v>1.28</v>
      </c>
      <c r="AB53" s="341"/>
      <c r="AE53" s="71"/>
      <c r="AF53" s="71"/>
      <c r="AG53" s="71"/>
      <c r="AH53" s="692"/>
      <c r="AI53" s="692"/>
      <c r="AJ53" s="738"/>
      <c r="AK53" s="71"/>
      <c r="AL53" s="71"/>
    </row>
    <row r="54" spans="1:38" s="154" customFormat="1" ht="27" customHeight="1" thickBot="1">
      <c r="A54" s="579"/>
      <c r="B54" s="1043" t="s">
        <v>511</v>
      </c>
      <c r="C54" s="1044"/>
      <c r="D54" s="1044"/>
      <c r="E54" s="1044"/>
      <c r="F54" s="1045"/>
      <c r="G54" s="1071" t="s">
        <v>515</v>
      </c>
      <c r="H54" s="1071"/>
      <c r="I54" s="1071"/>
      <c r="J54" s="1071"/>
      <c r="K54" s="1071"/>
      <c r="L54" s="1072"/>
      <c r="M54" s="579"/>
      <c r="N54" s="579"/>
      <c r="O54" s="886"/>
      <c r="P54" s="551"/>
      <c r="Q54" s="1056" t="str">
        <f>IF(G47="originario","  ",G50/G49*E150)</f>
        <v xml:space="preserve">  </v>
      </c>
      <c r="R54" s="1057"/>
      <c r="S54" s="1058"/>
      <c r="T54" s="4"/>
      <c r="V54" s="561" t="s">
        <v>82</v>
      </c>
      <c r="W54" s="253">
        <f>IF(AND($F$68&lt;=10,$F$70&lt;=5),1.28,X54)</f>
        <v>1.28</v>
      </c>
      <c r="X54" s="253">
        <f>IF(AND($F$68&lt;=10,$F$70&lt;=11),1.46,Y54)</f>
        <v>1.46</v>
      </c>
      <c r="Y54" s="253">
        <f>IF(AND($F$68&lt;=10,$F$70&lt;=20),1.56,Z54)</f>
        <v>1.56</v>
      </c>
      <c r="Z54" s="253">
        <f>IF(AND($F$68&lt;=10,$F$70&lt;=50),1.62,AA54)</f>
        <v>1.62</v>
      </c>
      <c r="AA54" s="253">
        <f>IF(AND($F$68&lt;=10,$F$70&gt;50),1.66,W55)</f>
        <v>1.25</v>
      </c>
      <c r="AB54" s="341"/>
      <c r="AE54" s="739"/>
      <c r="AF54" s="71"/>
      <c r="AG54" s="71"/>
      <c r="AH54" s="71"/>
      <c r="AI54" s="71"/>
      <c r="AJ54" s="738"/>
      <c r="AK54" s="739"/>
      <c r="AL54" s="71"/>
    </row>
    <row r="55" spans="1:38" s="154" customFormat="1" ht="15.75" customHeight="1" thickBot="1">
      <c r="A55" s="579"/>
      <c r="B55" s="1138" t="s">
        <v>624</v>
      </c>
      <c r="C55" s="1139"/>
      <c r="D55" s="1139"/>
      <c r="E55" s="1139"/>
      <c r="F55" s="1139"/>
      <c r="G55" s="1139"/>
      <c r="H55" s="1139"/>
      <c r="I55" s="1139"/>
      <c r="J55" s="1139"/>
      <c r="K55" s="1139"/>
      <c r="L55" s="1140"/>
      <c r="M55" s="579"/>
      <c r="N55" s="579"/>
      <c r="O55" s="886"/>
      <c r="P55" s="549"/>
      <c r="Q55" s="1059"/>
      <c r="R55" s="1060"/>
      <c r="S55" s="1061"/>
      <c r="T55" s="4"/>
      <c r="V55" s="561" t="s">
        <v>84</v>
      </c>
      <c r="W55" s="253">
        <f>IF(AND($F$68&lt;=50,$F$70&lt;=5),1.25,X55)</f>
        <v>1.25</v>
      </c>
      <c r="X55" s="253">
        <f>IF(AND($F$68&lt;=50,$F$70&lt;=11),1.43,Y55)</f>
        <v>1.43</v>
      </c>
      <c r="Y55" s="253">
        <f>IF(AND($F$68&lt;=50,$F$70&lt;=20),1.53,Z55)</f>
        <v>1.53</v>
      </c>
      <c r="Z55" s="253">
        <f>IF(AND($F$68&lt;=50,$F$70&lt;=50),1.59,AA55)</f>
        <v>1.59</v>
      </c>
      <c r="AA55" s="253">
        <f>IF(AND($F$68&lt;=50,$F$70&gt;50),1.63,W56)</f>
        <v>1.21</v>
      </c>
      <c r="AB55" s="341"/>
      <c r="AE55" s="739"/>
      <c r="AF55" s="71"/>
      <c r="AG55" s="692"/>
      <c r="AH55" s="71"/>
      <c r="AI55" s="71"/>
      <c r="AJ55" s="738"/>
      <c r="AK55" s="692"/>
      <c r="AL55" s="71"/>
    </row>
    <row r="56" spans="1:38" ht="13.5" customHeight="1" thickBot="1">
      <c r="A56" s="579"/>
      <c r="B56" s="1040" t="s">
        <v>629</v>
      </c>
      <c r="C56" s="1041"/>
      <c r="D56" s="1041"/>
      <c r="E56" s="1041"/>
      <c r="F56" s="1042"/>
      <c r="G56" s="1053" t="s">
        <v>515</v>
      </c>
      <c r="H56" s="1054"/>
      <c r="I56" s="1054"/>
      <c r="J56" s="1054"/>
      <c r="K56" s="1054"/>
      <c r="L56" s="1055"/>
      <c r="M56" s="579"/>
      <c r="N56" s="579"/>
      <c r="O56" s="886"/>
      <c r="Q56" s="3"/>
      <c r="V56" s="561" t="s">
        <v>86</v>
      </c>
      <c r="W56" s="253">
        <f>IF(AND($F$68&lt;=100,$F$70&lt;=5),1.21,X56)</f>
        <v>1.21</v>
      </c>
      <c r="X56" s="253">
        <f>IF(AND($F$68&lt;=100,$F$70&lt;=11),1.38,Y56)</f>
        <v>1.38</v>
      </c>
      <c r="Y56" s="253">
        <f>IF(AND($F$68&lt;=100,$F$70&lt;=20),1.48,Z56)</f>
        <v>1.48</v>
      </c>
      <c r="Z56" s="253">
        <f>IF(AND($F$68&lt;=100,$F$70&lt;=50),1.54,AA56)</f>
        <v>1.54</v>
      </c>
      <c r="AA56" s="253">
        <f>IF(AND($F$68&lt;=100,$F$70&gt;50),1.58,W57)</f>
        <v>1.1599999999999999</v>
      </c>
      <c r="AB56" s="341"/>
      <c r="AE56" s="71"/>
      <c r="AF56" s="71"/>
      <c r="AG56" s="692"/>
      <c r="AH56" s="71"/>
      <c r="AI56" s="71"/>
      <c r="AJ56" s="738"/>
      <c r="AK56" s="692"/>
      <c r="AL56" s="71"/>
    </row>
    <row r="57" spans="1:38" ht="21" customHeight="1" thickBot="1">
      <c r="A57" s="579"/>
      <c r="B57" s="1037" t="s">
        <v>507</v>
      </c>
      <c r="C57" s="1038"/>
      <c r="D57" s="1038"/>
      <c r="E57" s="1038"/>
      <c r="F57" s="1039"/>
      <c r="G57" s="1053" t="s">
        <v>515</v>
      </c>
      <c r="H57" s="1054"/>
      <c r="I57" s="1054"/>
      <c r="J57" s="1054"/>
      <c r="K57" s="1054"/>
      <c r="L57" s="1055"/>
      <c r="M57" s="579"/>
      <c r="N57" s="579"/>
      <c r="O57" s="886"/>
      <c r="Q57" s="3"/>
      <c r="R57" s="188"/>
      <c r="S57" s="2"/>
      <c r="V57" s="561" t="s">
        <v>87</v>
      </c>
      <c r="W57" s="253">
        <f>IF(AND($F$68&lt;=200,$F$70&lt;=5),1.16,X57)</f>
        <v>1.1599999999999999</v>
      </c>
      <c r="X57" s="253">
        <f>IF(AND($F$68&lt;=200,$F$70&lt;=11),1.32,Y57)</f>
        <v>1.32</v>
      </c>
      <c r="Y57" s="253">
        <f>IF(AND($F$68&lt;=200,$F$70&lt;=20),1.41,Z57)</f>
        <v>1.41</v>
      </c>
      <c r="Z57" s="253">
        <f>IF(AND($F$68&lt;=200,$F$70&lt;=50),1.47,AA57)</f>
        <v>1.47</v>
      </c>
      <c r="AA57" s="253">
        <f>IF(AND($F$68&lt;=200,$F$70&gt;50),1.51,W58)</f>
        <v>1.0900000000000001</v>
      </c>
      <c r="AB57" s="341"/>
      <c r="AE57" s="71"/>
      <c r="AF57" s="71"/>
      <c r="AG57" s="71"/>
      <c r="AH57" s="71"/>
      <c r="AI57" s="71"/>
      <c r="AJ57" s="71"/>
      <c r="AK57" s="71"/>
      <c r="AL57" s="71"/>
    </row>
    <row r="58" spans="1:38" ht="13.5" customHeight="1" thickBot="1">
      <c r="A58" s="579"/>
      <c r="B58" s="1037" t="s">
        <v>508</v>
      </c>
      <c r="C58" s="1038"/>
      <c r="D58" s="1038"/>
      <c r="E58" s="1038"/>
      <c r="F58" s="1039"/>
      <c r="G58" s="1053" t="s">
        <v>515</v>
      </c>
      <c r="H58" s="1054"/>
      <c r="I58" s="1054"/>
      <c r="J58" s="1054"/>
      <c r="K58" s="1054"/>
      <c r="L58" s="1055"/>
      <c r="M58" s="579"/>
      <c r="N58" s="579"/>
      <c r="O58" s="886"/>
      <c r="Q58" s="3"/>
      <c r="R58" s="188"/>
      <c r="S58" s="3"/>
      <c r="V58" s="561" t="s">
        <v>88</v>
      </c>
      <c r="W58" s="253">
        <f>IF(AND($F$68&lt;=500,$F$70&lt;=5),1.09,X58)</f>
        <v>1.0900000000000001</v>
      </c>
      <c r="X58" s="253">
        <f>IF(AND($F$68&lt;=500,$F$70&lt;=11),1.24,Y58)</f>
        <v>1.24</v>
      </c>
      <c r="Y58" s="253">
        <f>IF(AND($F$68&lt;=500,$F$70&lt;=20),1.33,Z58)</f>
        <v>1.33</v>
      </c>
      <c r="Z58" s="253">
        <f>IF(AND($F$68&lt;=500,$F$70&lt;=50),1.38,AA58)</f>
        <v>1.38</v>
      </c>
      <c r="AA58" s="253">
        <f>IF(AND($F$68&lt;=500,$F$70&gt;50),1.41,W59)</f>
        <v>0</v>
      </c>
      <c r="AB58" s="341"/>
      <c r="AE58" s="71"/>
      <c r="AF58" s="71"/>
      <c r="AG58" s="156"/>
      <c r="AH58" s="71"/>
      <c r="AI58" s="71"/>
      <c r="AJ58" s="234"/>
      <c r="AK58" s="71"/>
      <c r="AL58" s="71"/>
    </row>
    <row r="59" spans="1:38" ht="13.5" customHeight="1">
      <c r="A59" s="579"/>
      <c r="B59" s="1037" t="s">
        <v>512</v>
      </c>
      <c r="C59" s="1038"/>
      <c r="D59" s="1038"/>
      <c r="E59" s="1038"/>
      <c r="F59" s="1039"/>
      <c r="G59" s="1053" t="s">
        <v>515</v>
      </c>
      <c r="H59" s="1054"/>
      <c r="I59" s="1054"/>
      <c r="J59" s="1054"/>
      <c r="K59" s="1054"/>
      <c r="L59" s="1055"/>
      <c r="M59" s="579"/>
      <c r="N59" s="579"/>
      <c r="O59" s="886"/>
      <c r="P59" s="552"/>
      <c r="R59" s="3"/>
      <c r="S59" s="3"/>
      <c r="V59" s="561" t="s">
        <v>90</v>
      </c>
      <c r="W59" s="253">
        <f>IF(AND($F$68&gt;500,$F$70&lt;=5),1,X59)</f>
        <v>0</v>
      </c>
      <c r="X59" s="253">
        <f>IF(AND($F$68&gt;500,$F$70&lt;=11),1.14,Y59)</f>
        <v>0</v>
      </c>
      <c r="Y59" s="253">
        <f>IF(AND($F$68&gt;500,$F$70&lt;=20),1.22,Z59)</f>
        <v>0</v>
      </c>
      <c r="Z59" s="253">
        <f>IF(AND($F$68&gt;500,$F$70&lt;=50),1.27,AA59)</f>
        <v>0</v>
      </c>
      <c r="AA59" s="253">
        <f>IF(AND($F$68&gt;500,$F$70&gt;50),1.3,V51)</f>
        <v>0</v>
      </c>
      <c r="AB59" s="341"/>
      <c r="AE59" s="71"/>
      <c r="AF59" s="71"/>
      <c r="AG59" s="156"/>
      <c r="AH59" s="71"/>
      <c r="AI59" s="71"/>
      <c r="AJ59" s="71"/>
      <c r="AK59" s="71"/>
      <c r="AL59" s="71"/>
    </row>
    <row r="60" spans="1:38" ht="13.5" customHeight="1" thickBot="1">
      <c r="A60" s="579"/>
      <c r="B60" s="1037" t="s">
        <v>509</v>
      </c>
      <c r="C60" s="1038"/>
      <c r="D60" s="1038"/>
      <c r="E60" s="1038"/>
      <c r="F60" s="1039"/>
      <c r="G60" s="1062" t="s">
        <v>312</v>
      </c>
      <c r="H60" s="1062"/>
      <c r="I60" s="1062"/>
      <c r="J60" s="1062"/>
      <c r="K60" s="1062"/>
      <c r="L60" s="1063"/>
      <c r="M60" s="579"/>
      <c r="N60" s="579"/>
      <c r="O60" s="886"/>
      <c r="P60" s="552"/>
      <c r="Q60" s="3"/>
      <c r="R60" s="3"/>
      <c r="S60" s="3"/>
      <c r="V60" s="562"/>
      <c r="W60" s="342"/>
      <c r="X60" s="342"/>
      <c r="Y60" s="342"/>
      <c r="Z60" s="342"/>
      <c r="AA60" s="342"/>
      <c r="AB60" s="343"/>
      <c r="AE60" s="71"/>
      <c r="AF60" s="156"/>
      <c r="AG60" s="156"/>
      <c r="AH60" s="71"/>
      <c r="AI60" s="71"/>
      <c r="AJ60" s="234"/>
      <c r="AK60" s="71"/>
      <c r="AL60" s="71"/>
    </row>
    <row r="61" spans="1:38" ht="13.5" customHeight="1" thickBot="1">
      <c r="A61" s="579"/>
      <c r="B61" s="1037" t="s">
        <v>510</v>
      </c>
      <c r="C61" s="1038"/>
      <c r="D61" s="1038"/>
      <c r="E61" s="1038"/>
      <c r="F61" s="1039"/>
      <c r="G61" s="1062" t="s">
        <v>312</v>
      </c>
      <c r="H61" s="1062"/>
      <c r="I61" s="1062"/>
      <c r="J61" s="1062"/>
      <c r="K61" s="1062"/>
      <c r="L61" s="1063"/>
      <c r="M61" s="579"/>
      <c r="N61" s="579"/>
      <c r="O61" s="886"/>
      <c r="P61" s="552"/>
      <c r="Q61" s="3"/>
      <c r="R61" s="3"/>
      <c r="S61" s="3"/>
      <c r="AE61" s="71"/>
      <c r="AF61" s="156"/>
      <c r="AG61" s="452"/>
      <c r="AH61" s="71"/>
      <c r="AI61" s="71"/>
      <c r="AJ61" s="71"/>
      <c r="AK61" s="71"/>
      <c r="AL61" s="71"/>
    </row>
    <row r="62" spans="1:38" ht="13.5" customHeight="1" thickBot="1">
      <c r="A62" s="579"/>
      <c r="B62" s="1037" t="s">
        <v>456</v>
      </c>
      <c r="C62" s="1038"/>
      <c r="D62" s="1038"/>
      <c r="E62" s="1038"/>
      <c r="F62" s="1039"/>
      <c r="G62" s="1053" t="s">
        <v>515</v>
      </c>
      <c r="H62" s="1054"/>
      <c r="I62" s="1054"/>
      <c r="J62" s="1054"/>
      <c r="K62" s="1054"/>
      <c r="L62" s="1055"/>
      <c r="M62" s="579"/>
      <c r="N62" s="579"/>
      <c r="O62" s="886"/>
      <c r="P62" s="552"/>
      <c r="Q62" s="3"/>
      <c r="S62" s="3"/>
      <c r="AE62" s="71"/>
      <c r="AF62" s="71"/>
      <c r="AG62" s="234"/>
      <c r="AH62" s="71"/>
      <c r="AI62" s="71"/>
      <c r="AJ62" s="71"/>
      <c r="AK62" s="71"/>
      <c r="AL62" s="71"/>
    </row>
    <row r="63" spans="1:38" ht="28.5" customHeight="1" thickBot="1">
      <c r="A63" s="579"/>
      <c r="B63" s="1043" t="s">
        <v>625</v>
      </c>
      <c r="C63" s="1044"/>
      <c r="D63" s="1044"/>
      <c r="E63" s="1044"/>
      <c r="F63" s="1045"/>
      <c r="G63" s="1053" t="s">
        <v>515</v>
      </c>
      <c r="H63" s="1054"/>
      <c r="I63" s="1054"/>
      <c r="J63" s="1054"/>
      <c r="K63" s="1054"/>
      <c r="L63" s="1055"/>
      <c r="M63" s="579"/>
      <c r="N63" s="579"/>
      <c r="O63" s="886"/>
      <c r="P63" s="895"/>
      <c r="Q63" s="3"/>
      <c r="R63" s="3"/>
      <c r="S63" s="3"/>
      <c r="AE63" s="71"/>
      <c r="AF63" s="71"/>
      <c r="AG63" s="234"/>
      <c r="AH63" s="71"/>
      <c r="AI63" s="71"/>
      <c r="AJ63" s="71"/>
      <c r="AK63" s="71"/>
      <c r="AL63" s="71"/>
    </row>
    <row r="64" spans="1:38" ht="13.5" customHeight="1" thickBot="1">
      <c r="A64" s="579"/>
      <c r="B64" s="577"/>
      <c r="C64" s="577"/>
      <c r="D64" s="577"/>
      <c r="E64" s="577"/>
      <c r="F64" s="577"/>
      <c r="G64" s="796"/>
      <c r="H64" s="577"/>
      <c r="I64" s="577"/>
      <c r="J64" s="577"/>
      <c r="K64" s="577"/>
      <c r="L64" s="577"/>
      <c r="M64" s="579"/>
      <c r="N64" s="579"/>
      <c r="O64" s="886"/>
      <c r="P64" s="553"/>
      <c r="R64" s="3"/>
      <c r="S64" s="3"/>
      <c r="AE64" s="71"/>
      <c r="AF64" s="71"/>
      <c r="AG64" s="71"/>
      <c r="AH64" s="71"/>
      <c r="AI64" s="71"/>
      <c r="AJ64" s="71"/>
      <c r="AK64" s="71"/>
      <c r="AL64" s="71"/>
    </row>
    <row r="65" spans="1:40" ht="25.5" customHeight="1" thickBot="1">
      <c r="A65" s="579"/>
      <c r="B65" s="1064" t="s">
        <v>631</v>
      </c>
      <c r="C65" s="1065"/>
      <c r="D65" s="1065"/>
      <c r="E65" s="1065"/>
      <c r="F65" s="1065"/>
      <c r="G65" s="1065"/>
      <c r="H65" s="1065"/>
      <c r="I65" s="1065"/>
      <c r="J65" s="1065"/>
      <c r="K65" s="1065"/>
      <c r="L65" s="1066"/>
      <c r="M65" s="579"/>
      <c r="N65" s="579"/>
      <c r="O65" s="886"/>
      <c r="P65" s="553"/>
      <c r="R65" s="3"/>
      <c r="S65" s="3"/>
      <c r="AE65" s="71"/>
      <c r="AF65" s="156"/>
      <c r="AG65" s="71"/>
      <c r="AH65" s="71"/>
      <c r="AI65" s="71"/>
      <c r="AJ65" s="71"/>
      <c r="AK65" s="71"/>
      <c r="AL65" s="71"/>
    </row>
    <row r="66" spans="1:40" ht="12" customHeight="1" thickBot="1">
      <c r="A66" s="579"/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579"/>
      <c r="N66" s="608"/>
      <c r="O66" s="887"/>
      <c r="P66" s="553"/>
      <c r="R66" s="3"/>
      <c r="AE66" s="71"/>
      <c r="AF66" s="156"/>
      <c r="AG66" s="71"/>
      <c r="AH66" s="71"/>
      <c r="AI66" s="71"/>
      <c r="AJ66" s="71"/>
      <c r="AK66" s="71"/>
      <c r="AL66" s="71"/>
    </row>
    <row r="67" spans="1:40" ht="21.75" customHeight="1" thickBot="1">
      <c r="A67" s="579"/>
      <c r="B67" s="969" t="s">
        <v>643</v>
      </c>
      <c r="C67" s="970"/>
      <c r="D67" s="970"/>
      <c r="E67" s="970"/>
      <c r="F67" s="971"/>
      <c r="G67" s="796"/>
      <c r="H67" s="969" t="s">
        <v>181</v>
      </c>
      <c r="I67" s="970"/>
      <c r="J67" s="970"/>
      <c r="K67" s="970"/>
      <c r="L67" s="971"/>
      <c r="M67" s="578"/>
      <c r="N67" s="608"/>
      <c r="O67" s="887"/>
      <c r="P67" s="553"/>
    </row>
    <row r="68" spans="1:40" ht="20.25" customHeight="1">
      <c r="A68" s="579"/>
      <c r="B68" s="1126" t="s">
        <v>520</v>
      </c>
      <c r="C68" s="1127"/>
      <c r="D68" s="1127"/>
      <c r="E68" s="1127"/>
      <c r="F68" s="580">
        <v>0</v>
      </c>
      <c r="G68" s="607"/>
      <c r="H68" s="1121" t="s">
        <v>520</v>
      </c>
      <c r="I68" s="1122"/>
      <c r="J68" s="1122"/>
      <c r="K68" s="1122"/>
      <c r="L68" s="580">
        <v>0</v>
      </c>
      <c r="M68" s="578"/>
      <c r="N68" s="608"/>
      <c r="O68" s="887"/>
      <c r="P68" s="554"/>
      <c r="U68" s="563"/>
      <c r="V68" s="345"/>
      <c r="W68" s="345"/>
      <c r="X68" s="345" t="s">
        <v>205</v>
      </c>
      <c r="Y68" s="345"/>
      <c r="Z68" s="345"/>
      <c r="AA68" s="339"/>
    </row>
    <row r="69" spans="1:40" ht="19.5" customHeight="1">
      <c r="A69" s="579"/>
      <c r="B69" s="1119" t="s">
        <v>72</v>
      </c>
      <c r="C69" s="1120"/>
      <c r="D69" s="1120"/>
      <c r="E69" s="1120"/>
      <c r="F69" s="581">
        <v>0</v>
      </c>
      <c r="G69" s="612"/>
      <c r="H69" s="1046" t="s">
        <v>72</v>
      </c>
      <c r="I69" s="1047"/>
      <c r="J69" s="1047"/>
      <c r="K69" s="1047"/>
      <c r="L69" s="581">
        <v>0</v>
      </c>
      <c r="M69" s="578"/>
      <c r="N69" s="608"/>
      <c r="O69" s="887"/>
      <c r="P69" s="553"/>
      <c r="U69" s="340"/>
      <c r="V69" s="564" t="s">
        <v>71</v>
      </c>
      <c r="W69" s="66"/>
      <c r="X69" s="66"/>
      <c r="Y69" s="66"/>
      <c r="Z69" s="66"/>
      <c r="AA69" s="341"/>
    </row>
    <row r="70" spans="1:40" ht="19.5" customHeight="1">
      <c r="A70" s="579"/>
      <c r="B70" s="1119" t="s">
        <v>79</v>
      </c>
      <c r="C70" s="1120"/>
      <c r="D70" s="1120"/>
      <c r="E70" s="1120"/>
      <c r="F70" s="581">
        <v>0</v>
      </c>
      <c r="G70" s="612"/>
      <c r="H70" s="1046" t="s">
        <v>79</v>
      </c>
      <c r="I70" s="1047"/>
      <c r="J70" s="1047"/>
      <c r="K70" s="1047"/>
      <c r="L70" s="581">
        <v>0</v>
      </c>
      <c r="M70" s="578"/>
      <c r="N70" s="608"/>
      <c r="O70" s="887"/>
      <c r="U70" s="565" t="s">
        <v>73</v>
      </c>
      <c r="V70" s="564" t="s">
        <v>74</v>
      </c>
      <c r="W70" s="564" t="s">
        <v>75</v>
      </c>
      <c r="X70" s="564" t="s">
        <v>76</v>
      </c>
      <c r="Y70" s="564" t="s">
        <v>77</v>
      </c>
      <c r="Z70" s="564" t="s">
        <v>78</v>
      </c>
      <c r="AA70" s="341"/>
    </row>
    <row r="71" spans="1:40" ht="19.5" customHeight="1">
      <c r="A71" s="579"/>
      <c r="B71" s="1119" t="s">
        <v>521</v>
      </c>
      <c r="C71" s="1120"/>
      <c r="D71" s="1120"/>
      <c r="E71" s="1120"/>
      <c r="F71" s="582">
        <v>0</v>
      </c>
      <c r="G71" s="612"/>
      <c r="H71" s="1046" t="s">
        <v>521</v>
      </c>
      <c r="I71" s="1047"/>
      <c r="J71" s="1047"/>
      <c r="K71" s="1047"/>
      <c r="L71" s="582">
        <v>0</v>
      </c>
      <c r="M71" s="578"/>
      <c r="N71" s="608"/>
      <c r="O71" s="887"/>
      <c r="U71" s="566" t="s">
        <v>80</v>
      </c>
      <c r="V71" s="253">
        <f>IF(AND($L$68&lt;=5,$L$70&lt;=5),1.3,W71)</f>
        <v>1.3</v>
      </c>
      <c r="W71" s="253">
        <f>IF(AND($L$68&lt;=5,$L$70&lt;=11),1.48,X71)</f>
        <v>1.48</v>
      </c>
      <c r="X71" s="253">
        <f>IF(AND($L$68&lt;=5,$L$70&lt;=20),1.59,Y71)</f>
        <v>1.59</v>
      </c>
      <c r="Y71" s="253">
        <f>IF(AND($L$68&lt;=5,$L$70&lt;=50),1.65,Z71)</f>
        <v>1.65</v>
      </c>
      <c r="Z71" s="253">
        <f>IF(AND($L$68&lt;=5,$L$70&gt;50),1.69,V72)</f>
        <v>1.28</v>
      </c>
      <c r="AA71" s="341"/>
    </row>
    <row r="72" spans="1:40" ht="19.5" customHeight="1">
      <c r="A72" s="579"/>
      <c r="B72" s="1119" t="s">
        <v>251</v>
      </c>
      <c r="C72" s="1120"/>
      <c r="D72" s="1120"/>
      <c r="E72" s="1120"/>
      <c r="F72" s="582">
        <v>0</v>
      </c>
      <c r="G72" s="612"/>
      <c r="H72" s="1046" t="s">
        <v>251</v>
      </c>
      <c r="I72" s="1047"/>
      <c r="J72" s="1047"/>
      <c r="K72" s="1047"/>
      <c r="L72" s="582">
        <v>0</v>
      </c>
      <c r="M72" s="578"/>
      <c r="N72" s="608"/>
      <c r="O72" s="887"/>
      <c r="U72" s="561" t="s">
        <v>82</v>
      </c>
      <c r="V72" s="253">
        <f>IF(AND($L$68&lt;=10,$L$70&lt;=5),1.28,W72)</f>
        <v>1.28</v>
      </c>
      <c r="W72" s="253">
        <f>IF(AND($L$68&lt;=10,$L$70&lt;=11),1.46,X72)</f>
        <v>1.46</v>
      </c>
      <c r="X72" s="253">
        <f>IF(AND($L$68&lt;=10,$L$70&lt;=20),1.56,Y72)</f>
        <v>1.56</v>
      </c>
      <c r="Y72" s="253">
        <f>IF(AND($L$68&lt;=10,$L$70&lt;=50),1.62,Z72)</f>
        <v>1.62</v>
      </c>
      <c r="Z72" s="253">
        <f>IF(AND($L$68=10,$L$70&gt;50),1.66,V73)</f>
        <v>1.25</v>
      </c>
      <c r="AA72" s="341"/>
    </row>
    <row r="73" spans="1:40" ht="19.5" customHeight="1">
      <c r="A73" s="579"/>
      <c r="B73" s="1119" t="s">
        <v>119</v>
      </c>
      <c r="C73" s="1120"/>
      <c r="D73" s="1120"/>
      <c r="E73" s="1120"/>
      <c r="F73" s="583">
        <v>0</v>
      </c>
      <c r="G73" s="612"/>
      <c r="H73" s="1046" t="s">
        <v>119</v>
      </c>
      <c r="I73" s="1047"/>
      <c r="J73" s="1047"/>
      <c r="K73" s="1047"/>
      <c r="L73" s="583">
        <v>0</v>
      </c>
      <c r="M73" s="578"/>
      <c r="N73" s="608"/>
      <c r="O73" s="887"/>
      <c r="Q73" s="131"/>
      <c r="R73" s="687" t="s">
        <v>172</v>
      </c>
      <c r="S73" s="42" t="s">
        <v>236</v>
      </c>
      <c r="U73" s="561" t="s">
        <v>84</v>
      </c>
      <c r="V73" s="253">
        <f>IF(AND($L$68&lt;=50,$L$70&lt;=5),1.25,W73)</f>
        <v>1.25</v>
      </c>
      <c r="W73" s="253">
        <f>IF(AND($L$68&lt;=50,$L$70&lt;=11),1.43,X73)</f>
        <v>1.43</v>
      </c>
      <c r="X73" s="253">
        <f>IF(AND($L$68&lt;=50,$L$70&lt;=20),1.53,Y73)</f>
        <v>1.53</v>
      </c>
      <c r="Y73" s="253">
        <f>IF(AND($L$68&lt;=50,$L$70&lt;=50),1.59,Z73)</f>
        <v>1.59</v>
      </c>
      <c r="Z73" s="253">
        <f>IF(AND($L$68&lt;=50,$L$70&gt;50),1.63,V74)</f>
        <v>1.21</v>
      </c>
      <c r="AA73" s="341"/>
    </row>
    <row r="74" spans="1:40" ht="19.5" customHeight="1">
      <c r="A74" s="579"/>
      <c r="B74" s="987" t="s">
        <v>569</v>
      </c>
      <c r="C74" s="988"/>
      <c r="D74" s="988"/>
      <c r="E74" s="989"/>
      <c r="F74" s="583">
        <v>0</v>
      </c>
      <c r="G74" s="612"/>
      <c r="H74" s="987" t="s">
        <v>569</v>
      </c>
      <c r="I74" s="988"/>
      <c r="J74" s="988"/>
      <c r="K74" s="989"/>
      <c r="L74" s="583">
        <v>0</v>
      </c>
      <c r="M74" s="578"/>
      <c r="N74" s="608"/>
      <c r="O74" s="887"/>
      <c r="R74" s="334"/>
      <c r="S74" s="335"/>
      <c r="U74" s="561" t="s">
        <v>86</v>
      </c>
      <c r="V74" s="253">
        <f>IF(AND($L$68&lt;=100,$L$70&lt;=5),1.21,W74)</f>
        <v>1.21</v>
      </c>
      <c r="W74" s="253">
        <f>IF(AND($L$68&lt;=100,$L$70&lt;=11),1.38,X74)</f>
        <v>1.38</v>
      </c>
      <c r="X74" s="253">
        <f>IF(AND($L$68&lt;=100,$L$70&lt;=20),1.48,Y74)</f>
        <v>1.48</v>
      </c>
      <c r="Y74" s="253">
        <f>IF(AND($L$68&lt;=100,$L$70&lt;=50),1.54,Z74)</f>
        <v>1.54</v>
      </c>
      <c r="Z74" s="253">
        <f>IF(AND($L$68&lt;=100,$L$70&gt;50),1.58,V75)</f>
        <v>1.1599999999999999</v>
      </c>
      <c r="AA74" s="341"/>
    </row>
    <row r="75" spans="1:40" ht="19.5" customHeight="1">
      <c r="A75" s="579"/>
      <c r="B75" s="1119" t="s">
        <v>81</v>
      </c>
      <c r="C75" s="1120"/>
      <c r="D75" s="1120"/>
      <c r="E75" s="1120"/>
      <c r="F75" s="585">
        <f>S111</f>
        <v>4640</v>
      </c>
      <c r="G75" s="612"/>
      <c r="H75" s="1046" t="s">
        <v>81</v>
      </c>
      <c r="I75" s="1047"/>
      <c r="J75" s="1047"/>
      <c r="K75" s="1047"/>
      <c r="L75" s="585">
        <f>S111</f>
        <v>4640</v>
      </c>
      <c r="M75" s="578"/>
      <c r="N75" s="608"/>
      <c r="O75" s="887"/>
      <c r="R75" s="674"/>
      <c r="S75" s="43" t="s">
        <v>237</v>
      </c>
      <c r="U75" s="561" t="s">
        <v>87</v>
      </c>
      <c r="V75" s="253">
        <f>IF(AND($L$68&lt;=200,$L$70&lt;=5),1.16,W75)</f>
        <v>1.1599999999999999</v>
      </c>
      <c r="W75" s="253">
        <f>IF(AND($L$68&lt;=200,$L$70&lt;=11),1.32,X75)</f>
        <v>1.32</v>
      </c>
      <c r="X75" s="253">
        <f>IF(AND($L$68&lt;=200,$L$70&lt;=20),1.41,Y75)</f>
        <v>1.41</v>
      </c>
      <c r="Y75" s="253">
        <f>IF(AND($L$68&lt;=200,$L$70&lt;=50),1.47,Z75)</f>
        <v>1.47</v>
      </c>
      <c r="Z75" s="253">
        <f>IF(AND($L$68&lt;=200,$L$70&gt;50),1.51,V76)</f>
        <v>1.0900000000000001</v>
      </c>
      <c r="AA75" s="341"/>
    </row>
    <row r="76" spans="1:40" ht="19.5" customHeight="1">
      <c r="A76" s="579"/>
      <c r="B76" s="1119" t="s">
        <v>83</v>
      </c>
      <c r="C76" s="1120"/>
      <c r="D76" s="1120"/>
      <c r="E76" s="1120"/>
      <c r="F76" s="585">
        <f>S112</f>
        <v>20880</v>
      </c>
      <c r="G76" s="612"/>
      <c r="H76" s="1046" t="s">
        <v>83</v>
      </c>
      <c r="I76" s="1047"/>
      <c r="J76" s="1047"/>
      <c r="K76" s="1047"/>
      <c r="L76" s="585">
        <f>S112</f>
        <v>20880</v>
      </c>
      <c r="M76" s="608"/>
      <c r="N76" s="608"/>
      <c r="O76" s="887"/>
      <c r="P76" s="551"/>
      <c r="S76" s="131"/>
      <c r="U76" s="574" t="s">
        <v>88</v>
      </c>
      <c r="V76" s="575">
        <f>IF(AND($L$68&lt;=500,$L$70&lt;=5),1.09,W76)</f>
        <v>1.0900000000000001</v>
      </c>
      <c r="W76" s="575">
        <f>IF(AND($L$68&lt;=500,$L$70&lt;=11),1.24,X76)</f>
        <v>1.24</v>
      </c>
      <c r="X76" s="575">
        <f>IF(AND($L$68&lt;=500,$L$70&lt;=20),1.33,Y76)</f>
        <v>1.33</v>
      </c>
      <c r="Y76" s="575">
        <f>IF(AND($L$68&lt;=500,$L$70&lt;=50),1.38,Z76)</f>
        <v>1.38</v>
      </c>
      <c r="Z76" s="575">
        <f>IF(AND($L$68&lt;=500,$L$70&gt;50),1.41,V77)</f>
        <v>0</v>
      </c>
      <c r="AA76" s="341"/>
      <c r="AM76" s="535"/>
      <c r="AN76" s="535"/>
    </row>
    <row r="77" spans="1:40" ht="19.5" customHeight="1">
      <c r="A77" s="579"/>
      <c r="B77" s="1119" t="s">
        <v>85</v>
      </c>
      <c r="C77" s="1120"/>
      <c r="D77" s="1120"/>
      <c r="E77" s="1120"/>
      <c r="F77" s="614">
        <f>$L$83</f>
        <v>1.2</v>
      </c>
      <c r="G77" s="612"/>
      <c r="H77" s="1119" t="s">
        <v>85</v>
      </c>
      <c r="I77" s="1120"/>
      <c r="J77" s="1120"/>
      <c r="K77" s="1120"/>
      <c r="L77" s="614">
        <f>$L$83</f>
        <v>1.2</v>
      </c>
      <c r="M77" s="578"/>
      <c r="N77" s="608"/>
      <c r="O77" s="887"/>
      <c r="P77" s="551"/>
      <c r="R77" s="675">
        <v>0.05</v>
      </c>
      <c r="S77" s="676">
        <f>+E148*R77</f>
        <v>2900</v>
      </c>
      <c r="T77" s="131"/>
      <c r="U77" s="561" t="s">
        <v>90</v>
      </c>
      <c r="V77" s="253">
        <f>IF(AND($L$68&gt;500,$L$70&lt;=5),1,W77)</f>
        <v>0</v>
      </c>
      <c r="W77" s="253">
        <f>IF(AND($L$68&gt;500,$L$70&lt;=11),1.14,X77)</f>
        <v>0</v>
      </c>
      <c r="X77" s="253">
        <f>IF(AND($L$68&gt;500,$L$70&lt;=20),1.22,Y77)</f>
        <v>0</v>
      </c>
      <c r="Y77" s="253">
        <f>IF(AND($L$68&gt;500,$L$70&lt;=50),1.27,Z77)</f>
        <v>0</v>
      </c>
      <c r="Z77" s="253">
        <f>IF(AND($L$68&gt;500,$L$70&gt;50),1.3,U69)</f>
        <v>0</v>
      </c>
      <c r="AA77" s="341"/>
      <c r="AN77" s="184"/>
    </row>
    <row r="78" spans="1:40" ht="19.5" customHeight="1" thickBot="1">
      <c r="A78" s="579"/>
      <c r="B78" s="1103" t="s">
        <v>69</v>
      </c>
      <c r="C78" s="1104"/>
      <c r="D78" s="1104"/>
      <c r="E78" s="1104"/>
      <c r="F78" s="586">
        <f>IF(AND($F$68&lt;=5,$F$70&lt;=5),1.3,$X$53)</f>
        <v>1.3</v>
      </c>
      <c r="G78" s="612"/>
      <c r="H78" s="1107" t="s">
        <v>69</v>
      </c>
      <c r="I78" s="1108"/>
      <c r="J78" s="1108"/>
      <c r="K78" s="1109"/>
      <c r="L78" s="586">
        <f>IF(AND($L$68&lt;=5,$L$70&lt;=5),1.3,$W$71)</f>
        <v>1.3</v>
      </c>
      <c r="M78" s="578"/>
      <c r="N78" s="608"/>
      <c r="O78" s="887"/>
      <c r="P78" s="551"/>
      <c r="R78" s="677">
        <v>0.27500000000000002</v>
      </c>
      <c r="S78" s="336">
        <f>+E148*R78</f>
        <v>15950.000000000002</v>
      </c>
      <c r="U78" s="562"/>
      <c r="V78" s="342"/>
      <c r="W78" s="342"/>
      <c r="X78" s="342"/>
      <c r="Y78" s="342"/>
      <c r="Z78" s="342"/>
      <c r="AA78" s="343"/>
    </row>
    <row r="79" spans="1:40" ht="19.5" customHeight="1" thickBot="1">
      <c r="A79" s="579"/>
      <c r="B79" s="984" t="s">
        <v>174</v>
      </c>
      <c r="C79" s="985"/>
      <c r="D79" s="985"/>
      <c r="E79" s="986"/>
      <c r="F79" s="595">
        <f>((F68*F76*F77*F78)+F73+(F71/0.736*F76*F77*F78)+(PRODUCT(F69,F75)))+(F72*0.54*F76*F77)+(F74)</f>
        <v>0</v>
      </c>
      <c r="G79" s="612"/>
      <c r="H79" s="984" t="s">
        <v>89</v>
      </c>
      <c r="I79" s="985"/>
      <c r="J79" s="985"/>
      <c r="K79" s="986"/>
      <c r="L79" s="595">
        <f>((L68*L76*L77*L78)+L73+(L71/0.736*L76*L77*L78)+(PRODUCT(L69,L75)))+(L72*0.54*L76*L77)+(L74)</f>
        <v>0</v>
      </c>
      <c r="M79" s="578"/>
      <c r="N79" s="608"/>
      <c r="O79" s="915">
        <f>IF((F119+F99+L99+L79+O103+O134+O136+L125+L110)&gt;0,F80,(IF(F80&gt;S104,F80,S104)))</f>
        <v>14500</v>
      </c>
      <c r="P79" s="916" t="s">
        <v>694</v>
      </c>
      <c r="R79" s="677">
        <v>0.08</v>
      </c>
      <c r="S79" s="336">
        <f>+E148*R79</f>
        <v>4640</v>
      </c>
      <c r="AA79" s="131"/>
      <c r="AB79" s="131"/>
    </row>
    <row r="80" spans="1:40" ht="25.5" customHeight="1" thickBot="1">
      <c r="A80" s="579"/>
      <c r="B80" s="1123" t="s">
        <v>684</v>
      </c>
      <c r="C80" s="1124"/>
      <c r="D80" s="1124"/>
      <c r="E80" s="1125"/>
      <c r="F80" s="595">
        <f>+X201</f>
        <v>0</v>
      </c>
      <c r="G80" s="612"/>
      <c r="H80" s="1123" t="s">
        <v>684</v>
      </c>
      <c r="I80" s="1124"/>
      <c r="J80" s="1124"/>
      <c r="K80" s="1125"/>
      <c r="L80" s="595">
        <f>+X211</f>
        <v>0</v>
      </c>
      <c r="M80" s="608"/>
      <c r="N80" s="608"/>
      <c r="O80" s="887"/>
      <c r="P80" s="551"/>
      <c r="R80" s="677">
        <v>0.36</v>
      </c>
      <c r="S80" s="336">
        <f>+E148*R80</f>
        <v>20880</v>
      </c>
    </row>
    <row r="81" spans="1:39" ht="24" customHeight="1" thickBot="1">
      <c r="A81" s="881"/>
      <c r="B81" s="809"/>
      <c r="C81" s="809"/>
      <c r="D81" s="809"/>
      <c r="E81" s="809"/>
      <c r="F81" s="884">
        <f>O79</f>
        <v>14500</v>
      </c>
      <c r="G81" s="612"/>
      <c r="H81" s="577"/>
      <c r="I81" s="577"/>
      <c r="J81" s="577"/>
      <c r="K81" s="577"/>
      <c r="L81" s="884">
        <f>O81</f>
        <v>14500</v>
      </c>
      <c r="M81" s="578"/>
      <c r="N81" s="608"/>
      <c r="O81" s="915">
        <f>IF((F119+F99+F79+L99+O103+O134+O136+L125+L110)&gt;0,L80,(IF(L80&gt;S104,L80,S104)))</f>
        <v>14500</v>
      </c>
      <c r="P81" s="916" t="s">
        <v>693</v>
      </c>
      <c r="Q81" s="98"/>
      <c r="R81" s="337"/>
      <c r="S81" s="43"/>
      <c r="T81" s="96"/>
    </row>
    <row r="82" spans="1:39" ht="24" customHeight="1" thickBot="1">
      <c r="A82" s="881"/>
      <c r="B82" s="809"/>
      <c r="C82" s="809"/>
      <c r="D82" s="809"/>
      <c r="E82" s="809"/>
      <c r="F82" s="809"/>
      <c r="G82" s="612"/>
      <c r="H82" s="577"/>
      <c r="I82" s="577"/>
      <c r="J82" s="577"/>
      <c r="K82" s="577"/>
      <c r="L82" s="577"/>
      <c r="M82" s="608"/>
      <c r="N82" s="608"/>
      <c r="O82" s="887"/>
      <c r="P82" s="551"/>
      <c r="Q82" s="3"/>
      <c r="T82" s="52"/>
      <c r="U82" s="556"/>
      <c r="V82" s="292"/>
      <c r="W82" s="292"/>
      <c r="X82" s="568" t="s">
        <v>210</v>
      </c>
      <c r="Y82" s="292"/>
      <c r="Z82" s="292"/>
      <c r="AA82" s="339"/>
      <c r="AL82" s="3"/>
      <c r="AM82" s="4">
        <v>2</v>
      </c>
    </row>
    <row r="83" spans="1:39" ht="24" customHeight="1" thickBot="1">
      <c r="A83" s="579"/>
      <c r="B83" s="1105" t="s">
        <v>630</v>
      </c>
      <c r="C83" s="1106"/>
      <c r="D83" s="1106"/>
      <c r="E83" s="1106"/>
      <c r="F83" s="803" t="s">
        <v>311</v>
      </c>
      <c r="G83" s="796"/>
      <c r="H83" s="1105" t="s">
        <v>537</v>
      </c>
      <c r="I83" s="1106"/>
      <c r="J83" s="1106"/>
      <c r="K83" s="1106"/>
      <c r="L83" s="820">
        <v>1.2</v>
      </c>
      <c r="M83" s="578"/>
      <c r="N83" s="608"/>
      <c r="O83" s="887"/>
      <c r="P83" s="551"/>
      <c r="Q83" s="3"/>
      <c r="T83" s="52"/>
      <c r="U83" s="557"/>
      <c r="V83" s="97" t="s">
        <v>71</v>
      </c>
      <c r="W83" s="52"/>
      <c r="X83" s="52"/>
      <c r="Y83" s="52"/>
      <c r="Z83" s="52"/>
      <c r="AA83" s="529"/>
      <c r="AB83" s="96"/>
      <c r="AL83" s="3"/>
      <c r="AM83" s="4">
        <v>3</v>
      </c>
    </row>
    <row r="84" spans="1:39" ht="24" customHeight="1" thickBot="1">
      <c r="A84" s="579"/>
      <c r="B84" s="668"/>
      <c r="C84" s="668"/>
      <c r="D84" s="668"/>
      <c r="E84" s="668"/>
      <c r="F84" s="669"/>
      <c r="G84" s="800"/>
      <c r="H84" s="801"/>
      <c r="I84" s="801"/>
      <c r="J84" s="801"/>
      <c r="K84" s="801"/>
      <c r="L84" s="802"/>
      <c r="M84" s="608"/>
      <c r="N84" s="608"/>
      <c r="O84" s="887"/>
      <c r="P84" s="551"/>
      <c r="Q84" s="3"/>
      <c r="T84" s="52"/>
      <c r="U84" s="558" t="s">
        <v>73</v>
      </c>
      <c r="V84" s="97" t="s">
        <v>74</v>
      </c>
      <c r="W84" s="97" t="s">
        <v>75</v>
      </c>
      <c r="X84" s="97" t="s">
        <v>76</v>
      </c>
      <c r="Y84" s="97" t="s">
        <v>77</v>
      </c>
      <c r="Z84" s="97" t="s">
        <v>78</v>
      </c>
      <c r="AA84" s="559"/>
      <c r="AB84" s="52"/>
      <c r="AL84" s="3"/>
      <c r="AM84" s="4">
        <v>4</v>
      </c>
    </row>
    <row r="85" spans="1:39" ht="24" customHeight="1" thickBot="1">
      <c r="A85" s="579"/>
      <c r="B85" s="1064" t="s">
        <v>632</v>
      </c>
      <c r="C85" s="1065"/>
      <c r="D85" s="1065"/>
      <c r="E85" s="1065"/>
      <c r="F85" s="1065"/>
      <c r="G85" s="1065"/>
      <c r="H85" s="1065"/>
      <c r="I85" s="1065"/>
      <c r="J85" s="1065"/>
      <c r="K85" s="1065"/>
      <c r="L85" s="1066"/>
      <c r="M85" s="608"/>
      <c r="N85" s="608"/>
      <c r="O85" s="887"/>
      <c r="P85" s="551"/>
      <c r="Q85" s="3"/>
      <c r="R85" s="98"/>
      <c r="S85" s="3"/>
      <c r="T85" s="52"/>
      <c r="U85" s="560" t="s">
        <v>80</v>
      </c>
      <c r="V85" s="99">
        <f>IF(AND(($F$88+(F91/0.736))&lt;=5,$F$88&lt;=5),1.3,W85)</f>
        <v>1.3</v>
      </c>
      <c r="W85" s="99">
        <f>IF(AND(($F$88+(F91/0.736))&lt;=5,$F$90&lt;=11),1.48,X85)</f>
        <v>1.48</v>
      </c>
      <c r="X85" s="99">
        <f>IF(AND(($F$88+(F91/0.736))&lt;=5,$F$90&lt;=20),1.59,Y85)</f>
        <v>1.59</v>
      </c>
      <c r="Y85" s="99">
        <f>IF(AND(($F$88+(F91/0.736))&lt;=5,$F$90&lt;=50),1.65,Z85)</f>
        <v>1.65</v>
      </c>
      <c r="Z85" s="99">
        <f>IF(AND(($F$88+(F91/0.736))&lt;=5,$F$90&gt;50),1.69,V86)</f>
        <v>1.28</v>
      </c>
      <c r="AA85" s="559"/>
      <c r="AB85" s="52"/>
      <c r="AC85" s="52"/>
      <c r="AD85" s="52"/>
      <c r="AE85" s="648"/>
      <c r="AF85" s="648"/>
      <c r="AG85" s="648"/>
      <c r="AH85" s="648"/>
      <c r="AI85" s="648"/>
      <c r="AJ85" s="66"/>
      <c r="AL85" s="3"/>
      <c r="AM85" s="4">
        <f>MAX(AM82:AM84)</f>
        <v>4</v>
      </c>
    </row>
    <row r="86" spans="1:39" ht="24" customHeight="1" thickBot="1">
      <c r="A86" s="579"/>
      <c r="B86" s="577"/>
      <c r="C86" s="577"/>
      <c r="D86" s="577"/>
      <c r="E86" s="577"/>
      <c r="F86" s="577"/>
      <c r="G86" s="796"/>
      <c r="H86" s="577"/>
      <c r="I86" s="577"/>
      <c r="J86" s="577"/>
      <c r="K86" s="577"/>
      <c r="L86" s="577"/>
      <c r="M86" s="608"/>
      <c r="N86" s="608"/>
      <c r="O86" s="887"/>
      <c r="P86" s="555"/>
      <c r="Q86" s="3"/>
      <c r="U86" s="561" t="s">
        <v>82</v>
      </c>
      <c r="V86" s="253">
        <f>IF(AND(($F$88+(F91/0.736))&lt;=10,$F$90&lt;=5),1.28,W86)</f>
        <v>1.28</v>
      </c>
      <c r="W86" s="253">
        <f>IF(AND(($F$88+(F91/0.736))&lt;=10,$F$90&lt;=11),1.46,X86)</f>
        <v>1.46</v>
      </c>
      <c r="X86" s="253">
        <f>IF(AND(($F$88+(F91/0.736))&lt;=10,$F$90&lt;=20),1.56,Y86)</f>
        <v>1.56</v>
      </c>
      <c r="Y86" s="253">
        <f>IF(AND(($F$88+(F91/0.736))&lt;=10,$F$90&lt;=50),1.62,Z86)</f>
        <v>1.62</v>
      </c>
      <c r="Z86" s="253">
        <f>IF(AND(($F$88+(F91/0.736))&lt;=10,$F$90&gt;50),1.66,V87)</f>
        <v>1.25</v>
      </c>
      <c r="AA86" s="559"/>
      <c r="AB86" s="52"/>
      <c r="AC86" s="52"/>
    </row>
    <row r="87" spans="1:39" ht="24" customHeight="1" thickBot="1">
      <c r="A87" s="579"/>
      <c r="B87" s="969" t="s">
        <v>135</v>
      </c>
      <c r="C87" s="970"/>
      <c r="D87" s="970"/>
      <c r="E87" s="970"/>
      <c r="F87" s="971"/>
      <c r="G87" s="796"/>
      <c r="H87" s="969" t="s">
        <v>136</v>
      </c>
      <c r="I87" s="970"/>
      <c r="J87" s="970"/>
      <c r="K87" s="970"/>
      <c r="L87" s="971"/>
      <c r="M87" s="608"/>
      <c r="N87" s="608"/>
      <c r="O87" s="887"/>
      <c r="P87" s="551"/>
      <c r="U87" s="561" t="s">
        <v>84</v>
      </c>
      <c r="V87" s="253">
        <f>IF(AND(($F$88+(F91/0.736))&lt;=50,$F$90&lt;=5),1.25,W87)</f>
        <v>1.25</v>
      </c>
      <c r="W87" s="253">
        <f>IF(AND(($F$88+(F91/0.736))&lt;=50,$F$90&lt;=11),1.43,X87)</f>
        <v>1.43</v>
      </c>
      <c r="X87" s="253">
        <f>IF(AND(($F$88+(F91/0.736))&lt;=50,$F$90&lt;=20),1.53,Y87)</f>
        <v>1.53</v>
      </c>
      <c r="Y87" s="253">
        <f>IF(AND(($F$88+(F91/0.736))&lt;=50,$F$90&lt;=50),1.59,Z87)</f>
        <v>1.59</v>
      </c>
      <c r="Z87" s="253">
        <f>IF(AND(($F$88+(F91/0.736))&lt;=50,$F$90&gt;50),1.63,V88)</f>
        <v>1.21</v>
      </c>
      <c r="AA87" s="559"/>
      <c r="AB87" s="52"/>
      <c r="AC87" s="52"/>
    </row>
    <row r="88" spans="1:39" ht="24" customHeight="1">
      <c r="A88" s="579"/>
      <c r="B88" s="1121" t="s">
        <v>520</v>
      </c>
      <c r="C88" s="1122"/>
      <c r="D88" s="1122"/>
      <c r="E88" s="1122"/>
      <c r="F88" s="580">
        <v>0</v>
      </c>
      <c r="G88" s="799"/>
      <c r="H88" s="1126" t="s">
        <v>520</v>
      </c>
      <c r="I88" s="1127"/>
      <c r="J88" s="1127"/>
      <c r="K88" s="1127"/>
      <c r="L88" s="580">
        <v>0</v>
      </c>
      <c r="M88" s="578"/>
      <c r="N88" s="608"/>
      <c r="O88" s="887"/>
      <c r="P88" s="551"/>
      <c r="R88" s="877"/>
      <c r="U88" s="561" t="s">
        <v>86</v>
      </c>
      <c r="V88" s="253">
        <f>IF(AND(($F$88+(F91/0.736))&lt;=100,$F$90&lt;=5),1.21,W88)</f>
        <v>1.21</v>
      </c>
      <c r="W88" s="253">
        <f>IF(AND(($F$88+(F91/0.736))&lt;=100,$F$90&lt;=11),1.38,X88)</f>
        <v>1.38</v>
      </c>
      <c r="X88" s="253">
        <f>IF(AND(($F$88+(F91/0.736))&lt;=100,$F$90&lt;=20),1.48,Y88)</f>
        <v>1.48</v>
      </c>
      <c r="Y88" s="253">
        <f>IF(AND(($F$88+(F91/0.736))&lt;=100,$F$90&lt;=50),1.54,Z88)</f>
        <v>1.54</v>
      </c>
      <c r="Z88" s="253">
        <f>IF(AND(($F$88+(F91/0.736))&lt;=100,$F$90&gt;50),1.58,V89)</f>
        <v>1.1599999999999999</v>
      </c>
      <c r="AA88" s="341"/>
    </row>
    <row r="89" spans="1:39" ht="24" customHeight="1" thickBot="1">
      <c r="A89" s="579"/>
      <c r="B89" s="1046" t="s">
        <v>72</v>
      </c>
      <c r="C89" s="1047"/>
      <c r="D89" s="1047"/>
      <c r="E89" s="1047"/>
      <c r="F89" s="581">
        <v>0</v>
      </c>
      <c r="G89" s="796"/>
      <c r="H89" s="1119" t="s">
        <v>72</v>
      </c>
      <c r="I89" s="1120"/>
      <c r="J89" s="1120"/>
      <c r="K89" s="1120"/>
      <c r="L89" s="581">
        <v>0</v>
      </c>
      <c r="M89" s="578"/>
      <c r="N89" s="608"/>
      <c r="O89" s="887"/>
      <c r="P89" s="551"/>
      <c r="R89" s="870"/>
      <c r="U89" s="561" t="s">
        <v>87</v>
      </c>
      <c r="V89" s="253">
        <f>IF(AND(($F$88+(F91/0.736))&lt;=200,$F$90&lt;=5),1.16,W89)</f>
        <v>1.1599999999999999</v>
      </c>
      <c r="W89" s="253">
        <f>IF(AND(($F$88+(F91/0.736))&lt;=200,$F$90&lt;=11),1.32,X89)</f>
        <v>1.32</v>
      </c>
      <c r="X89" s="253">
        <f>IF(AND(($F$88+(F91/0.736))&lt;=200,$F$90&lt;=20),1.41,Y89)</f>
        <v>1.41</v>
      </c>
      <c r="Y89" s="253">
        <f>IF(AND(($F$88+(F91/0.736))&lt;=200,$F$90&lt;=50),1.47,Z89)</f>
        <v>1.47</v>
      </c>
      <c r="Z89" s="253">
        <f>IF(AND(($F$88+(F91/0.736))&lt;=200,$F$90&gt;50),1.51,V90)</f>
        <v>1.0900000000000001</v>
      </c>
      <c r="AA89" s="341"/>
    </row>
    <row r="90" spans="1:39" ht="24" customHeight="1" thickBot="1">
      <c r="A90" s="579"/>
      <c r="B90" s="1046" t="s">
        <v>79</v>
      </c>
      <c r="C90" s="1047"/>
      <c r="D90" s="1047"/>
      <c r="E90" s="1047"/>
      <c r="F90" s="581">
        <v>0</v>
      </c>
      <c r="G90" s="612"/>
      <c r="H90" s="1119" t="s">
        <v>79</v>
      </c>
      <c r="I90" s="1120"/>
      <c r="J90" s="1120"/>
      <c r="K90" s="1120"/>
      <c r="L90" s="581">
        <v>0</v>
      </c>
      <c r="M90" s="578"/>
      <c r="N90" s="608"/>
      <c r="O90" s="887"/>
      <c r="P90" s="907"/>
      <c r="U90" s="561" t="s">
        <v>88</v>
      </c>
      <c r="V90" s="253">
        <f>IF(AND(($F$88+(F91/0.736))&lt;=500,$F$90&lt;=5),1.09,W90)</f>
        <v>1.0900000000000001</v>
      </c>
      <c r="W90" s="253">
        <f>IF(AND(($F$88+(F91/0.736))&lt;=500,$F$90&lt;=11),1.24,X90)</f>
        <v>1.24</v>
      </c>
      <c r="X90" s="253">
        <f>IF(AND(($F$88+(F91/0.736))&lt;=500,$F$90&lt;=20),1.33,Y90)</f>
        <v>1.33</v>
      </c>
      <c r="Y90" s="253">
        <f>IF(AND(($F$88+(F91/0.736))&lt;=500,$F$90&lt;=50),1.38,Z90)</f>
        <v>1.38</v>
      </c>
      <c r="Z90" s="253">
        <f>IF(AND(($F$88+(F91/0.736))&lt;=500,$F$90&gt;50),1.41,V91)</f>
        <v>0</v>
      </c>
      <c r="AA90" s="341"/>
      <c r="AC90" s="537"/>
      <c r="AD90" s="1028" t="s">
        <v>205</v>
      </c>
      <c r="AE90" s="1029"/>
      <c r="AF90" s="1029"/>
      <c r="AG90" s="1029"/>
      <c r="AH90" s="1029"/>
      <c r="AI90" s="1029"/>
      <c r="AJ90" s="1030"/>
    </row>
    <row r="91" spans="1:39" ht="24" customHeight="1">
      <c r="A91" s="579"/>
      <c r="B91" s="1046" t="s">
        <v>519</v>
      </c>
      <c r="C91" s="1047"/>
      <c r="D91" s="1047"/>
      <c r="E91" s="1047"/>
      <c r="F91" s="582">
        <v>0</v>
      </c>
      <c r="G91" s="612"/>
      <c r="H91" s="1119" t="s">
        <v>519</v>
      </c>
      <c r="I91" s="1120"/>
      <c r="J91" s="1120"/>
      <c r="K91" s="1120"/>
      <c r="L91" s="582">
        <v>0</v>
      </c>
      <c r="M91" s="578"/>
      <c r="N91" s="608"/>
      <c r="O91" s="887"/>
      <c r="P91" s="908"/>
      <c r="Q91" s="2"/>
      <c r="U91" s="561" t="s">
        <v>90</v>
      </c>
      <c r="V91" s="253">
        <f>IF(AND(($F$88+(F91/0.736))&gt;500,$F$90&lt;=5),1,W91)</f>
        <v>0</v>
      </c>
      <c r="W91" s="253">
        <f>IF(AND(($F$88+(F91/0.736))&gt;500,$F$90&lt;=11),1.14,X91)</f>
        <v>0</v>
      </c>
      <c r="X91" s="253">
        <f>IF(AND(($F$88+(F91/0.736))&gt;500,$F$90&lt;=20),1.22,Y91)</f>
        <v>0</v>
      </c>
      <c r="Y91" s="253">
        <f>IF(AND(($F$88+(F91/0.736))&gt;500,$F$90&lt;=50),1.27,Z91)</f>
        <v>0</v>
      </c>
      <c r="Z91" s="253">
        <f>IF(AND(($F$88+(F91/0.736))&gt;500,$F$90&gt;50),1.3,U83)</f>
        <v>0</v>
      </c>
      <c r="AA91" s="341"/>
      <c r="AC91" s="728"/>
      <c r="AD91" s="720" t="s">
        <v>72</v>
      </c>
      <c r="AE91" s="699" t="s">
        <v>70</v>
      </c>
      <c r="AF91" s="699" t="s">
        <v>576</v>
      </c>
      <c r="AG91" s="699"/>
      <c r="AH91" s="700" t="s">
        <v>577</v>
      </c>
      <c r="AI91" s="700" t="s">
        <v>651</v>
      </c>
      <c r="AJ91" s="701" t="s">
        <v>69</v>
      </c>
    </row>
    <row r="92" spans="1:39" ht="24" customHeight="1" thickBot="1">
      <c r="A92" s="579"/>
      <c r="B92" s="1046" t="s">
        <v>251</v>
      </c>
      <c r="C92" s="1047"/>
      <c r="D92" s="1047"/>
      <c r="E92" s="1047"/>
      <c r="F92" s="582">
        <v>0</v>
      </c>
      <c r="G92" s="612"/>
      <c r="H92" s="1119" t="s">
        <v>251</v>
      </c>
      <c r="I92" s="1120"/>
      <c r="J92" s="1120"/>
      <c r="K92" s="1120"/>
      <c r="L92" s="582">
        <v>0</v>
      </c>
      <c r="M92" s="578"/>
      <c r="N92" s="608"/>
      <c r="O92" s="887"/>
      <c r="P92" s="909"/>
      <c r="Q92" s="3"/>
      <c r="R92" s="693" t="s">
        <v>311</v>
      </c>
      <c r="S92" s="42">
        <v>55</v>
      </c>
      <c r="U92" s="562"/>
      <c r="V92" s="342"/>
      <c r="W92" s="342"/>
      <c r="X92" s="342"/>
      <c r="Y92" s="342"/>
      <c r="Z92" s="342"/>
      <c r="AA92" s="343"/>
      <c r="AC92" s="729" t="s">
        <v>195</v>
      </c>
      <c r="AD92" s="721">
        <f>$L$69</f>
        <v>0</v>
      </c>
      <c r="AE92" s="702">
        <f>+L68+(L71/0.736)</f>
        <v>0</v>
      </c>
      <c r="AF92" s="703">
        <f>$L$70</f>
        <v>0</v>
      </c>
      <c r="AG92" s="703"/>
      <c r="AH92" s="704">
        <f>$L$72</f>
        <v>0</v>
      </c>
      <c r="AI92" s="704">
        <f>L71</f>
        <v>0</v>
      </c>
      <c r="AJ92" s="705">
        <f>$L$78</f>
        <v>1.3</v>
      </c>
    </row>
    <row r="93" spans="1:39" ht="24" customHeight="1" thickBot="1">
      <c r="A93" s="579"/>
      <c r="B93" s="1046" t="s">
        <v>119</v>
      </c>
      <c r="C93" s="1047"/>
      <c r="D93" s="1047"/>
      <c r="E93" s="1047"/>
      <c r="F93" s="583">
        <v>0</v>
      </c>
      <c r="G93" s="612"/>
      <c r="H93" s="1119" t="s">
        <v>119</v>
      </c>
      <c r="I93" s="1120"/>
      <c r="J93" s="1120"/>
      <c r="K93" s="1120"/>
      <c r="L93" s="583">
        <v>0</v>
      </c>
      <c r="M93" s="578"/>
      <c r="N93" s="608"/>
      <c r="O93" s="887"/>
      <c r="P93" s="910"/>
      <c r="Q93" s="3"/>
      <c r="R93" s="694" t="s">
        <v>312</v>
      </c>
      <c r="S93" s="335">
        <v>33</v>
      </c>
      <c r="AC93" s="730" t="s">
        <v>581</v>
      </c>
      <c r="AD93" s="722">
        <f>$F$69</f>
        <v>0</v>
      </c>
      <c r="AE93" s="736">
        <f>$F$68+(F71/0.736)</f>
        <v>0</v>
      </c>
      <c r="AF93" s="723">
        <f>$F$70</f>
        <v>0</v>
      </c>
      <c r="AG93" s="723"/>
      <c r="AH93" s="724">
        <f>$F$72</f>
        <v>0</v>
      </c>
      <c r="AI93" s="724">
        <f>F71</f>
        <v>0</v>
      </c>
      <c r="AJ93" s="725">
        <f>$F$78</f>
        <v>1.3</v>
      </c>
    </row>
    <row r="94" spans="1:39" ht="24" customHeight="1" thickBot="1">
      <c r="A94" s="579"/>
      <c r="B94" s="987" t="s">
        <v>569</v>
      </c>
      <c r="C94" s="988"/>
      <c r="D94" s="988"/>
      <c r="E94" s="989"/>
      <c r="F94" s="583">
        <v>0</v>
      </c>
      <c r="G94" s="612"/>
      <c r="H94" s="987" t="s">
        <v>569</v>
      </c>
      <c r="I94" s="988"/>
      <c r="J94" s="988"/>
      <c r="K94" s="989"/>
      <c r="L94" s="583">
        <v>0</v>
      </c>
      <c r="M94" s="578"/>
      <c r="N94" s="608"/>
      <c r="O94" s="887"/>
      <c r="P94" s="902"/>
      <c r="Q94" s="3"/>
      <c r="R94" s="695"/>
      <c r="S94" s="43"/>
      <c r="V94" s="99" t="s">
        <v>325</v>
      </c>
      <c r="AC94" s="731" t="s">
        <v>579</v>
      </c>
      <c r="AD94" s="845">
        <f>MAX(AD92:AD93)</f>
        <v>0</v>
      </c>
      <c r="AE94" s="845">
        <f>MAX(AE92:AE93)</f>
        <v>0</v>
      </c>
      <c r="AF94" s="846">
        <f>MAX(AF92:AF93)</f>
        <v>0</v>
      </c>
      <c r="AG94" s="846"/>
      <c r="AH94" s="847">
        <f>MAX(AH92:AH93)</f>
        <v>0</v>
      </c>
      <c r="AI94" s="847">
        <f>MAX(AI92:AI93)</f>
        <v>0</v>
      </c>
      <c r="AJ94" s="853">
        <f>MAX(AJ92:AJ93)</f>
        <v>1.3</v>
      </c>
    </row>
    <row r="95" spans="1:39" ht="24" customHeight="1">
      <c r="A95" s="579"/>
      <c r="B95" s="1046" t="s">
        <v>81</v>
      </c>
      <c r="C95" s="1047"/>
      <c r="D95" s="1047"/>
      <c r="E95" s="1047"/>
      <c r="F95" s="585">
        <f>S111</f>
        <v>4640</v>
      </c>
      <c r="G95" s="612"/>
      <c r="H95" s="1119" t="s">
        <v>81</v>
      </c>
      <c r="I95" s="1120"/>
      <c r="J95" s="1120"/>
      <c r="K95" s="1120"/>
      <c r="L95" s="585">
        <f>S111</f>
        <v>4640</v>
      </c>
      <c r="M95" s="578"/>
      <c r="N95" s="608"/>
      <c r="O95" s="887"/>
      <c r="P95" s="911"/>
      <c r="Q95" s="3" t="s">
        <v>39</v>
      </c>
      <c r="U95" s="563"/>
      <c r="V95" s="345"/>
      <c r="W95" s="345"/>
      <c r="X95" s="345" t="s">
        <v>211</v>
      </c>
      <c r="Y95" s="345"/>
      <c r="Z95" s="345"/>
      <c r="AA95" s="339"/>
    </row>
    <row r="96" spans="1:39" ht="24" customHeight="1">
      <c r="A96" s="579"/>
      <c r="B96" s="1046" t="s">
        <v>83</v>
      </c>
      <c r="C96" s="1047"/>
      <c r="D96" s="1047"/>
      <c r="E96" s="1047"/>
      <c r="F96" s="585">
        <f>S112</f>
        <v>20880</v>
      </c>
      <c r="G96" s="612"/>
      <c r="H96" s="1119" t="s">
        <v>83</v>
      </c>
      <c r="I96" s="1120"/>
      <c r="J96" s="1120"/>
      <c r="K96" s="1120"/>
      <c r="L96" s="585">
        <f>S112</f>
        <v>20880</v>
      </c>
      <c r="M96" s="608"/>
      <c r="N96" s="608"/>
      <c r="O96" s="887"/>
      <c r="P96" s="911"/>
      <c r="Q96" s="872" t="s">
        <v>678</v>
      </c>
      <c r="R96" s="873"/>
      <c r="S96" s="874"/>
      <c r="U96" s="340"/>
      <c r="V96" s="564" t="s">
        <v>71</v>
      </c>
      <c r="W96" s="66"/>
      <c r="X96" s="66"/>
      <c r="Y96" s="66"/>
      <c r="Z96" s="66"/>
      <c r="AA96" s="341"/>
    </row>
    <row r="97" spans="1:53" ht="24" customHeight="1">
      <c r="A97" s="579"/>
      <c r="B97" s="1046" t="s">
        <v>85</v>
      </c>
      <c r="C97" s="1047"/>
      <c r="D97" s="1047"/>
      <c r="E97" s="1047"/>
      <c r="F97" s="613">
        <f>$L$83</f>
        <v>1.2</v>
      </c>
      <c r="G97" s="612"/>
      <c r="H97" s="1119" t="s">
        <v>85</v>
      </c>
      <c r="I97" s="1120"/>
      <c r="J97" s="1120"/>
      <c r="K97" s="1120"/>
      <c r="L97" s="613">
        <f>$L$83</f>
        <v>1.2</v>
      </c>
      <c r="M97" s="578"/>
      <c r="N97" s="608"/>
      <c r="O97" s="887"/>
      <c r="P97" s="911"/>
      <c r="Q97" s="875" t="s">
        <v>679</v>
      </c>
      <c r="R97" s="873"/>
      <c r="S97" s="876"/>
      <c r="U97" s="558" t="s">
        <v>73</v>
      </c>
      <c r="V97" s="97" t="s">
        <v>74</v>
      </c>
      <c r="W97" s="97" t="s">
        <v>75</v>
      </c>
      <c r="X97" s="97" t="s">
        <v>76</v>
      </c>
      <c r="Y97" s="97" t="s">
        <v>77</v>
      </c>
      <c r="Z97" s="97" t="s">
        <v>78</v>
      </c>
      <c r="AA97" s="341"/>
    </row>
    <row r="98" spans="1:53" ht="24" customHeight="1" thickBot="1">
      <c r="A98" s="579"/>
      <c r="B98" s="1136" t="s">
        <v>69</v>
      </c>
      <c r="C98" s="1137"/>
      <c r="D98" s="1137"/>
      <c r="E98" s="1137"/>
      <c r="F98" s="586">
        <f>IF(AND($AE$109&lt;=5,$F$90&lt;=5),1.3,$W$85)</f>
        <v>1.3</v>
      </c>
      <c r="G98" s="612"/>
      <c r="H98" s="1103" t="s">
        <v>69</v>
      </c>
      <c r="I98" s="1104"/>
      <c r="J98" s="1104"/>
      <c r="K98" s="1104"/>
      <c r="L98" s="586">
        <f>IF(AND($AE$109&lt;=5,$L$90&lt;=5),1.3,$W$98)</f>
        <v>1.3</v>
      </c>
      <c r="M98" s="578"/>
      <c r="N98" s="608"/>
      <c r="O98" s="887"/>
      <c r="P98" s="911"/>
      <c r="Q98" s="687" t="s">
        <v>680</v>
      </c>
      <c r="R98" s="873"/>
      <c r="S98" s="874"/>
      <c r="U98" s="560" t="s">
        <v>80</v>
      </c>
      <c r="V98" s="99">
        <f>IF(AND((L88+(L91/0.736))&lt;=5,L88&lt;=5),1.3,W98)</f>
        <v>1.3</v>
      </c>
      <c r="W98" s="99">
        <f>IF(AND((L88+(L91/0.736))&lt;=5,L90&lt;=11),1.48,X98)</f>
        <v>1.48</v>
      </c>
      <c r="X98" s="99">
        <f>IF(AND((L88+(L91/0.736))&lt;=5,L90&lt;=20),1.59,Y98)</f>
        <v>1.59</v>
      </c>
      <c r="Y98" s="99">
        <f>IF(AND((L88+(L91/0.736))&lt;=5,L90&lt;=50),1.65,Z98)</f>
        <v>1.65</v>
      </c>
      <c r="Z98" s="99">
        <f>IF(AND((L88+(L91/0.736))&lt;=5,L90&gt;50),1.69,V99)</f>
        <v>1.28</v>
      </c>
      <c r="AA98" s="341"/>
    </row>
    <row r="99" spans="1:53" ht="24" customHeight="1" thickBot="1">
      <c r="A99" s="579"/>
      <c r="B99" s="984" t="s">
        <v>91</v>
      </c>
      <c r="C99" s="985"/>
      <c r="D99" s="985"/>
      <c r="E99" s="986"/>
      <c r="F99" s="595">
        <f>((F88*F96*F97*F98)+((F91/0.736)*F96*F97*F98))+(F92*0.54*F96*F97)+F93+(F89*F95)+F94</f>
        <v>0</v>
      </c>
      <c r="G99" s="612"/>
      <c r="H99" s="984" t="s">
        <v>92</v>
      </c>
      <c r="I99" s="985"/>
      <c r="J99" s="985"/>
      <c r="K99" s="986"/>
      <c r="L99" s="595">
        <f>((L88*L96*L97*L98)+((L91/0.736)*L96*L97*L98))+(L92*0.54*L96*L97)+L93+(L89*L95)+L94</f>
        <v>0</v>
      </c>
      <c r="M99" s="578"/>
      <c r="N99" s="608"/>
      <c r="O99" s="915">
        <f>IF((F119+O103+O134+O136+L99+F79+L79+L125+L110)&gt;0,F100,(IF(F100&gt;S105,F100,S105)))</f>
        <v>20110</v>
      </c>
      <c r="P99" s="916" t="s">
        <v>692</v>
      </c>
      <c r="Q99" s="877"/>
      <c r="R99" s="333" t="s">
        <v>314</v>
      </c>
      <c r="S99" s="42"/>
      <c r="U99" s="561" t="s">
        <v>82</v>
      </c>
      <c r="V99" s="253">
        <f>IF(AND((L88+(L91/0.736))&lt;=10,L90&lt;=5),1.28,W99)</f>
        <v>1.28</v>
      </c>
      <c r="W99" s="253">
        <f>IF(AND((L88+(L91/0.736))&lt;=10,L90&lt;=11),1.46,X99)</f>
        <v>1.46</v>
      </c>
      <c r="X99" s="253">
        <f>IF(AND((L88+(L91/0.736))&lt;=10,L90&lt;=20),1.56,Y99)</f>
        <v>1.56</v>
      </c>
      <c r="Y99" s="253">
        <f>IF(AND((L88+(L91/0.736))&lt;=10,L90&lt;=50),1.62,Z99)</f>
        <v>1.62</v>
      </c>
      <c r="Z99" s="253">
        <f>IF(AND((L88+(L91/0.736))&lt;=10,L90&gt;50),1.66,V100)</f>
        <v>1.25</v>
      </c>
      <c r="AA99" s="341"/>
    </row>
    <row r="100" spans="1:53" ht="24" customHeight="1" thickBot="1">
      <c r="A100" s="579"/>
      <c r="B100" s="1123" t="s">
        <v>684</v>
      </c>
      <c r="C100" s="1124"/>
      <c r="D100" s="1124"/>
      <c r="E100" s="1125"/>
      <c r="F100" s="595">
        <f>+X218</f>
        <v>0</v>
      </c>
      <c r="G100" s="612"/>
      <c r="H100" s="1123" t="s">
        <v>684</v>
      </c>
      <c r="I100" s="1124"/>
      <c r="J100" s="1124"/>
      <c r="K100" s="1125"/>
      <c r="L100" s="595">
        <f>+X227</f>
        <v>0</v>
      </c>
      <c r="M100" s="608"/>
      <c r="N100" s="608"/>
      <c r="O100" s="887"/>
      <c r="P100" s="911"/>
      <c r="Q100" s="870"/>
      <c r="R100" s="334">
        <v>0.25</v>
      </c>
      <c r="S100" s="335">
        <f>+E148*R100</f>
        <v>14500</v>
      </c>
      <c r="U100" s="561" t="s">
        <v>84</v>
      </c>
      <c r="V100" s="253">
        <f>IF(AND((L88+(L91/0.736))&lt;=50,L90&lt;=5),1.25,W100)</f>
        <v>1.25</v>
      </c>
      <c r="W100" s="253">
        <f>IF(AND((L88+(L91/0.736))&lt;=50,L90&lt;=11),1.43,X100)</f>
        <v>1.43</v>
      </c>
      <c r="X100" s="253">
        <f>IF(AND((L88+(L91/0.736))&lt;=50,L90&lt;=20),1.53,Y100)</f>
        <v>1.53</v>
      </c>
      <c r="Y100" s="253">
        <f>IF(AND((L88+(L91/0.736))&lt;=50,L90&lt;=50),1.59,Z100)</f>
        <v>1.59</v>
      </c>
      <c r="Z100" s="253">
        <f>IF(AND((L88+(L91/0.736))&lt;=50,L90&gt;50),1.63,V101)</f>
        <v>1.21</v>
      </c>
      <c r="AA100" s="341"/>
    </row>
    <row r="101" spans="1:53" ht="24" customHeight="1" thickBot="1">
      <c r="A101" s="579"/>
      <c r="B101" s="577"/>
      <c r="C101" s="577"/>
      <c r="D101" s="577"/>
      <c r="E101" s="577"/>
      <c r="F101" s="884">
        <f>O99</f>
        <v>20110</v>
      </c>
      <c r="G101" s="612"/>
      <c r="H101" s="577"/>
      <c r="I101" s="577"/>
      <c r="J101" s="577"/>
      <c r="K101" s="577"/>
      <c r="L101" s="884">
        <f>O101</f>
        <v>20110</v>
      </c>
      <c r="M101" s="608"/>
      <c r="N101" s="608"/>
      <c r="O101" s="915">
        <f>IF((F119+F99+F79+L79+L125+O103+O134+O136+L110)&gt;0,L100,(IF(L100&gt;S105,L100,S105)))</f>
        <v>20110</v>
      </c>
      <c r="P101" s="916" t="s">
        <v>691</v>
      </c>
      <c r="R101" s="334">
        <v>0.34666666000000002</v>
      </c>
      <c r="S101" s="336">
        <f>+E148*R101</f>
        <v>20106.666280000001</v>
      </c>
      <c r="U101" s="561" t="s">
        <v>86</v>
      </c>
      <c r="V101" s="253">
        <f>IF(AND((L88+(L91/0.736))&lt;=100,L90&lt;=5),1.21,W101)</f>
        <v>1.21</v>
      </c>
      <c r="W101" s="253">
        <f>IF(AND((L88+(L91/0.736))&lt;=100,L90&lt;=11),1.38,X101)</f>
        <v>1.38</v>
      </c>
      <c r="X101" s="253">
        <f>IF(AND((L88+(L91/0.736))&lt;=100,L90&lt;=20),1.48,Y101)</f>
        <v>1.48</v>
      </c>
      <c r="Y101" s="253">
        <f>IF(AND((L88+(L91/0.736))&lt;=100,L90&lt;=50),1.54,Z101)</f>
        <v>1.54</v>
      </c>
      <c r="Z101" s="253">
        <f>IF(AND((L88+(L91/0.736))&lt;=100,L90&gt;50),1.58,V102)</f>
        <v>1.1599999999999999</v>
      </c>
      <c r="AA101" s="341"/>
    </row>
    <row r="102" spans="1:53" ht="24" customHeight="1" thickBot="1">
      <c r="A102" s="579"/>
      <c r="B102" s="577"/>
      <c r="C102" s="577"/>
      <c r="D102" s="577"/>
      <c r="E102" s="577"/>
      <c r="F102" s="882"/>
      <c r="G102" s="612"/>
      <c r="H102" s="577"/>
      <c r="I102" s="577"/>
      <c r="J102" s="577"/>
      <c r="K102" s="577"/>
      <c r="L102" s="577"/>
      <c r="M102" s="608"/>
      <c r="N102" s="608"/>
      <c r="O102" s="887"/>
      <c r="P102" s="551"/>
      <c r="U102" s="561" t="s">
        <v>87</v>
      </c>
      <c r="V102" s="253">
        <f>IF(AND((L88+(L91/0.736))&lt;=200,L90&lt;=5),1.16,W102)</f>
        <v>1.1599999999999999</v>
      </c>
      <c r="W102" s="253">
        <f>IF(AND((L88+(L91/0.736))&lt;=200,L90&lt;=11),1.32,X102)</f>
        <v>1.32</v>
      </c>
      <c r="X102" s="253">
        <f>IF(AND((L88+(L91/0.736))&lt;=200,L90&lt;=20),1.41,Y102)</f>
        <v>1.41</v>
      </c>
      <c r="Y102" s="253">
        <f>IF(AND((L88+(L91/0.736))&lt;=200,L90&lt;=50),1.47,Z102)</f>
        <v>1.47</v>
      </c>
      <c r="Z102" s="253">
        <f>IF(AND((L88+(L91/0.736))&lt;=200,L90&gt;50),1.51,V103)</f>
        <v>1.0900000000000001</v>
      </c>
      <c r="AA102" s="341"/>
      <c r="AC102" s="52"/>
      <c r="AD102" s="997" t="s">
        <v>574</v>
      </c>
      <c r="AE102" s="998"/>
      <c r="AF102" s="998"/>
      <c r="AG102" s="998"/>
      <c r="AH102" s="998"/>
      <c r="AI102" s="998"/>
      <c r="AJ102" s="999"/>
    </row>
    <row r="103" spans="1:53" ht="24" customHeight="1" thickBot="1">
      <c r="A103" s="579"/>
      <c r="B103" s="981" t="s">
        <v>644</v>
      </c>
      <c r="C103" s="982"/>
      <c r="D103" s="982"/>
      <c r="E103" s="982"/>
      <c r="F103" s="803" t="s">
        <v>311</v>
      </c>
      <c r="G103" s="612"/>
      <c r="H103" s="804" t="s">
        <v>312</v>
      </c>
      <c r="I103" s="1145" t="s">
        <v>678</v>
      </c>
      <c r="J103" s="1146"/>
      <c r="K103" s="1147"/>
      <c r="L103" s="884">
        <f>IF(H103="NO",0,S104)</f>
        <v>0</v>
      </c>
      <c r="M103" s="578"/>
      <c r="N103" s="608"/>
      <c r="O103" s="915">
        <f>L103</f>
        <v>0</v>
      </c>
      <c r="P103" s="916" t="s">
        <v>695</v>
      </c>
      <c r="Q103" s="1008" t="s">
        <v>197</v>
      </c>
      <c r="R103" s="962"/>
      <c r="S103" s="962"/>
      <c r="U103" s="561" t="s">
        <v>88</v>
      </c>
      <c r="V103" s="253">
        <f>IF(AND((L88+(L91/0.736))&lt;=500,L90&lt;=5),1.09,W103)</f>
        <v>1.0900000000000001</v>
      </c>
      <c r="W103" s="253">
        <f>IF(AND((L88+(L91/0.736))&lt;=500,L90&lt;=11),1.24,X103)</f>
        <v>1.24</v>
      </c>
      <c r="X103" s="253">
        <f>IF(AND((L88+(L91/0.736))&lt;=500,L90&lt;=20),1.33,Y103)</f>
        <v>1.33</v>
      </c>
      <c r="Y103" s="253">
        <f>IF(AND((L88+(L91/0.736))&lt;=500,L90&lt;=50),1.38,Z103)</f>
        <v>1.38</v>
      </c>
      <c r="Z103" s="253">
        <f>IF(AND((L88+(L91/0.736))&lt;=500,L90&gt;50),1.41,V104)</f>
        <v>0</v>
      </c>
      <c r="AA103" s="341"/>
      <c r="AC103" s="726"/>
      <c r="AD103" s="835" t="s">
        <v>72</v>
      </c>
      <c r="AE103" s="836" t="s">
        <v>70</v>
      </c>
      <c r="AF103" s="836" t="s">
        <v>576</v>
      </c>
      <c r="AG103" s="836" t="s">
        <v>259</v>
      </c>
      <c r="AH103" s="837" t="s">
        <v>577</v>
      </c>
      <c r="AI103" s="837" t="s">
        <v>651</v>
      </c>
      <c r="AJ103" s="838" t="s">
        <v>69</v>
      </c>
    </row>
    <row r="104" spans="1:53" ht="24" customHeight="1" thickBot="1">
      <c r="A104" s="579"/>
      <c r="B104" s="1144"/>
      <c r="C104" s="1144"/>
      <c r="D104" s="1144"/>
      <c r="E104" s="1144"/>
      <c r="F104" s="1144"/>
      <c r="G104" s="612"/>
      <c r="H104" s="1169"/>
      <c r="I104" s="1169"/>
      <c r="J104" s="1169"/>
      <c r="K104" s="1169"/>
      <c r="L104" s="1169"/>
      <c r="M104" s="578"/>
      <c r="N104" s="608"/>
      <c r="O104" s="887"/>
      <c r="P104" s="551"/>
      <c r="Q104" s="1020" t="s">
        <v>198</v>
      </c>
      <c r="R104" s="1020"/>
      <c r="S104" s="332">
        <f>5500*$S$180</f>
        <v>14500</v>
      </c>
      <c r="U104" s="561" t="s">
        <v>90</v>
      </c>
      <c r="V104" s="253">
        <f>IF(AND((L88+(L91/0.736))&gt;500,L90&lt;=5),1,W104)</f>
        <v>0</v>
      </c>
      <c r="W104" s="253">
        <f>IF(AND((L88+(L91/0.736))&gt;500,L90&lt;=11),1.14,X104)</f>
        <v>0</v>
      </c>
      <c r="X104" s="253">
        <f>IF(AND((L88+(L91/0.736))&gt;500,L90&lt;=20),1.22,Y104)</f>
        <v>0</v>
      </c>
      <c r="Y104" s="253">
        <f>IF(AND((L88+(L91/0.736))&gt;500,L90&lt;=50),1.27,Z104)</f>
        <v>0</v>
      </c>
      <c r="Z104" s="253">
        <f>IF(AND((L88+(L91/0.736))&gt;500,L90&gt;50),1.3,U96)</f>
        <v>0</v>
      </c>
      <c r="AA104" s="341"/>
      <c r="AC104" s="727" t="s">
        <v>578</v>
      </c>
      <c r="AD104" s="714">
        <f>F89</f>
        <v>0</v>
      </c>
      <c r="AE104" s="715">
        <f>F88+(F91/0.736)</f>
        <v>0</v>
      </c>
      <c r="AF104" s="716">
        <f>F90</f>
        <v>0</v>
      </c>
      <c r="AG104" s="717"/>
      <c r="AH104" s="718">
        <f>F92</f>
        <v>0</v>
      </c>
      <c r="AI104" s="718">
        <f>F91</f>
        <v>0</v>
      </c>
      <c r="AJ104" s="839">
        <f>+IF(F90&gt;0,F98,0)</f>
        <v>0</v>
      </c>
    </row>
    <row r="105" spans="1:53" ht="24" customHeight="1" thickBot="1">
      <c r="A105" s="579"/>
      <c r="B105" s="969" t="s">
        <v>137</v>
      </c>
      <c r="C105" s="970"/>
      <c r="D105" s="970"/>
      <c r="E105" s="970"/>
      <c r="F105" s="971"/>
      <c r="G105" s="612"/>
      <c r="H105" s="969" t="s">
        <v>528</v>
      </c>
      <c r="I105" s="970"/>
      <c r="J105" s="970"/>
      <c r="K105" s="970"/>
      <c r="L105" s="971"/>
      <c r="M105" s="578"/>
      <c r="N105" s="608"/>
      <c r="O105" s="887"/>
      <c r="P105" s="912"/>
      <c r="Q105" s="1034" t="s">
        <v>199</v>
      </c>
      <c r="R105" s="1034"/>
      <c r="S105" s="332">
        <v>20110</v>
      </c>
      <c r="U105" s="567"/>
      <c r="V105" s="533"/>
      <c r="W105" s="533"/>
      <c r="X105" s="533"/>
      <c r="Y105" s="533"/>
      <c r="Z105" s="533"/>
      <c r="AA105" s="343"/>
      <c r="AC105" s="727" t="s">
        <v>652</v>
      </c>
      <c r="AD105" s="714">
        <f>L89</f>
        <v>0</v>
      </c>
      <c r="AE105" s="715">
        <f>L88+(L91/0.736)</f>
        <v>0</v>
      </c>
      <c r="AF105" s="716">
        <f>L90</f>
        <v>0</v>
      </c>
      <c r="AG105" s="717"/>
      <c r="AH105" s="718">
        <f>L92</f>
        <v>0</v>
      </c>
      <c r="AI105" s="718">
        <f>L91</f>
        <v>0</v>
      </c>
      <c r="AJ105" s="839">
        <f>+IF(L90&gt;0,L98,0)</f>
        <v>0</v>
      </c>
    </row>
    <row r="106" spans="1:53" ht="24" customHeight="1">
      <c r="A106" s="579"/>
      <c r="B106" s="1126" t="s">
        <v>520</v>
      </c>
      <c r="C106" s="1127"/>
      <c r="D106" s="1127"/>
      <c r="E106" s="1127"/>
      <c r="F106" s="821">
        <v>0</v>
      </c>
      <c r="G106" s="612"/>
      <c r="H106" s="1126" t="s">
        <v>256</v>
      </c>
      <c r="I106" s="1127"/>
      <c r="J106" s="1127"/>
      <c r="K106" s="1127"/>
      <c r="L106" s="822">
        <v>0</v>
      </c>
      <c r="M106" s="578"/>
      <c r="N106" s="608"/>
      <c r="O106" s="887"/>
      <c r="P106" s="911"/>
      <c r="Q106" s="962" t="s">
        <v>685</v>
      </c>
      <c r="R106" s="962"/>
      <c r="S106" s="883">
        <f>+E148*0.4</f>
        <v>23200</v>
      </c>
      <c r="U106" s="48"/>
      <c r="V106"/>
      <c r="W106"/>
      <c r="X106"/>
      <c r="Y106"/>
      <c r="Z106"/>
      <c r="AC106" s="727" t="s">
        <v>653</v>
      </c>
      <c r="AD106" s="714">
        <f>$F$107</f>
        <v>0</v>
      </c>
      <c r="AE106" s="715">
        <f>F106+(F109/0.736)+(F111/0.736)+(F112/0.736)</f>
        <v>0</v>
      </c>
      <c r="AF106" s="716">
        <f>F108</f>
        <v>0</v>
      </c>
      <c r="AG106" s="716">
        <f>$F$110</f>
        <v>0</v>
      </c>
      <c r="AH106" s="719">
        <f>F113</f>
        <v>0</v>
      </c>
      <c r="AI106" s="719">
        <f>F109</f>
        <v>0</v>
      </c>
      <c r="AJ106" s="839">
        <f>+IF(F108&gt;0,F118,0)</f>
        <v>0</v>
      </c>
      <c r="BA106" s="797"/>
    </row>
    <row r="107" spans="1:53" ht="24" customHeight="1" thickBot="1">
      <c r="A107" s="579"/>
      <c r="B107" s="1126" t="s">
        <v>72</v>
      </c>
      <c r="C107" s="1127"/>
      <c r="D107" s="1127"/>
      <c r="E107" s="1127"/>
      <c r="F107" s="822">
        <v>0</v>
      </c>
      <c r="G107" s="612"/>
      <c r="H107" s="1126" t="s">
        <v>72</v>
      </c>
      <c r="I107" s="1127"/>
      <c r="J107" s="1127"/>
      <c r="K107" s="1127"/>
      <c r="L107" s="822">
        <v>0</v>
      </c>
      <c r="M107" s="578"/>
      <c r="N107" s="608"/>
      <c r="O107" s="887"/>
      <c r="P107" s="911"/>
      <c r="Q107" s="962" t="s">
        <v>704</v>
      </c>
      <c r="R107" s="962"/>
      <c r="S107" s="332">
        <v>37700</v>
      </c>
      <c r="U107" s="48"/>
      <c r="V107"/>
      <c r="W107"/>
      <c r="X107"/>
      <c r="Y107"/>
      <c r="Z107"/>
      <c r="AC107" s="727">
        <v>900</v>
      </c>
      <c r="AD107" s="714">
        <f>$L$107</f>
        <v>0</v>
      </c>
      <c r="AE107" s="833"/>
      <c r="AF107" s="716">
        <f>$L$108</f>
        <v>0</v>
      </c>
      <c r="AG107" s="716">
        <f>L106</f>
        <v>0</v>
      </c>
      <c r="AH107" s="715"/>
      <c r="AI107" s="715"/>
      <c r="AJ107" s="852"/>
    </row>
    <row r="108" spans="1:53" ht="24" customHeight="1">
      <c r="A108" s="579"/>
      <c r="B108" s="1126" t="s">
        <v>79</v>
      </c>
      <c r="C108" s="1127"/>
      <c r="D108" s="1127"/>
      <c r="E108" s="1127"/>
      <c r="F108" s="822">
        <v>0</v>
      </c>
      <c r="G108" s="612"/>
      <c r="H108" s="1126" t="s">
        <v>681</v>
      </c>
      <c r="I108" s="1127"/>
      <c r="J108" s="1127"/>
      <c r="K108" s="1127"/>
      <c r="L108" s="822">
        <v>0</v>
      </c>
      <c r="M108" s="578"/>
      <c r="N108" s="608"/>
      <c r="O108" s="887"/>
      <c r="P108" s="911"/>
      <c r="Q108" s="962" t="s">
        <v>705</v>
      </c>
      <c r="R108" s="962"/>
      <c r="S108" s="332">
        <f>12000*$S$180</f>
        <v>31636.363636363636</v>
      </c>
      <c r="U108" s="569"/>
      <c r="V108" s="522"/>
      <c r="W108" s="522"/>
      <c r="X108" s="570" t="s">
        <v>522</v>
      </c>
      <c r="Y108" s="522"/>
      <c r="Z108" s="522"/>
      <c r="AA108" s="339"/>
      <c r="AC108" s="727" t="s">
        <v>654</v>
      </c>
      <c r="AD108" s="714"/>
      <c r="AE108" s="833"/>
      <c r="AF108" s="716"/>
      <c r="AG108" s="716"/>
      <c r="AH108" s="715"/>
      <c r="AI108" s="715">
        <f>F111</f>
        <v>0</v>
      </c>
      <c r="AJ108" s="852"/>
    </row>
    <row r="109" spans="1:53" ht="24" customHeight="1" thickBot="1">
      <c r="A109" s="579"/>
      <c r="B109" s="987" t="s">
        <v>590</v>
      </c>
      <c r="C109" s="988"/>
      <c r="D109" s="988"/>
      <c r="E109" s="989"/>
      <c r="F109" s="821">
        <v>0</v>
      </c>
      <c r="G109" s="612"/>
      <c r="H109" s="1126" t="s">
        <v>81</v>
      </c>
      <c r="I109" s="1127"/>
      <c r="J109" s="1127"/>
      <c r="K109" s="1127"/>
      <c r="L109" s="585">
        <f>S111</f>
        <v>4640</v>
      </c>
      <c r="M109" s="578"/>
      <c r="N109" s="608"/>
      <c r="O109" s="887"/>
      <c r="P109" s="911"/>
      <c r="Q109" s="962" t="s">
        <v>154</v>
      </c>
      <c r="R109" s="962"/>
      <c r="S109" s="332">
        <f>1100*$S$180</f>
        <v>2900</v>
      </c>
      <c r="U109" s="340"/>
      <c r="V109" s="564" t="s">
        <v>71</v>
      </c>
      <c r="W109" s="66"/>
      <c r="X109" s="66"/>
      <c r="Y109" s="66"/>
      <c r="Z109" s="66"/>
      <c r="AA109" s="341"/>
      <c r="AC109" s="834" t="s">
        <v>579</v>
      </c>
      <c r="AD109" s="840">
        <f t="shared" ref="AD109:AJ109" si="0">MAX(AD104:AD108)</f>
        <v>0</v>
      </c>
      <c r="AE109" s="841">
        <f t="shared" si="0"/>
        <v>0</v>
      </c>
      <c r="AF109" s="841">
        <f t="shared" si="0"/>
        <v>0</v>
      </c>
      <c r="AG109" s="841">
        <f t="shared" si="0"/>
        <v>0</v>
      </c>
      <c r="AH109" s="842">
        <f t="shared" si="0"/>
        <v>0</v>
      </c>
      <c r="AI109" s="843">
        <f t="shared" si="0"/>
        <v>0</v>
      </c>
      <c r="AJ109" s="844">
        <f t="shared" si="0"/>
        <v>0</v>
      </c>
    </row>
    <row r="110" spans="1:53" ht="24" customHeight="1" thickBot="1">
      <c r="A110" s="579"/>
      <c r="B110" s="987" t="s">
        <v>256</v>
      </c>
      <c r="C110" s="988"/>
      <c r="D110" s="988"/>
      <c r="E110" s="989"/>
      <c r="F110" s="822">
        <v>0</v>
      </c>
      <c r="G110" s="612"/>
      <c r="H110" s="984" t="s">
        <v>118</v>
      </c>
      <c r="I110" s="985"/>
      <c r="J110" s="985"/>
      <c r="K110" s="986"/>
      <c r="L110" s="595">
        <f>(((SUM(L106,L107,L108))))*L109</f>
        <v>0</v>
      </c>
      <c r="M110" s="578"/>
      <c r="N110" s="608"/>
      <c r="O110" s="887"/>
      <c r="P110" s="911"/>
      <c r="Q110" s="962" t="s">
        <v>153</v>
      </c>
      <c r="R110" s="962"/>
      <c r="S110" s="332">
        <f>6050*$S$180</f>
        <v>15950</v>
      </c>
      <c r="U110" s="565" t="s">
        <v>73</v>
      </c>
      <c r="V110" s="564" t="s">
        <v>74</v>
      </c>
      <c r="W110" s="564" t="s">
        <v>75</v>
      </c>
      <c r="X110" s="564" t="s">
        <v>76</v>
      </c>
      <c r="Y110" s="564" t="s">
        <v>77</v>
      </c>
      <c r="Z110" s="564" t="s">
        <v>78</v>
      </c>
      <c r="AA110" s="341"/>
    </row>
    <row r="111" spans="1:53" ht="24" customHeight="1" thickBot="1">
      <c r="A111" s="579"/>
      <c r="B111" s="987" t="s">
        <v>642</v>
      </c>
      <c r="C111" s="988"/>
      <c r="D111" s="988"/>
      <c r="E111" s="989"/>
      <c r="F111" s="821">
        <v>0</v>
      </c>
      <c r="G111" s="612"/>
      <c r="H111" s="1123" t="s">
        <v>684</v>
      </c>
      <c r="I111" s="1124"/>
      <c r="J111" s="1124"/>
      <c r="K111" s="1125"/>
      <c r="L111" s="595">
        <f>+X249</f>
        <v>0</v>
      </c>
      <c r="M111" s="578"/>
      <c r="N111" s="608"/>
      <c r="O111" s="887"/>
      <c r="P111" s="911"/>
      <c r="Q111" s="962" t="s">
        <v>117</v>
      </c>
      <c r="R111" s="962"/>
      <c r="S111" s="332">
        <f>1760*$S$180</f>
        <v>4640</v>
      </c>
      <c r="U111" s="566" t="s">
        <v>80</v>
      </c>
      <c r="V111" s="99">
        <f>IF(AND((F106+(F109/0.736))&lt;=5,F106&lt;=5),1.3,W111)</f>
        <v>1.3</v>
      </c>
      <c r="W111" s="99">
        <f>IF(AND((F106+(F109/0.736))&lt;=5,F108&lt;=11),1.48,X111)</f>
        <v>1.48</v>
      </c>
      <c r="X111" s="99">
        <f>IF(AND((F106+(F109/0.736))&lt;=5,F108&lt;=20),1.59,Y111)</f>
        <v>1.59</v>
      </c>
      <c r="Y111" s="99">
        <f>IF(AND((F106+(F109/0.736))&lt;=5,F108&lt;=50),1.65,Z111)</f>
        <v>1.65</v>
      </c>
      <c r="Z111" s="99">
        <f>IF(AND((F106+(F109/0.736))&lt;=5,F108&gt;50),1.69,V112)</f>
        <v>1.28</v>
      </c>
      <c r="AA111" s="341"/>
      <c r="AC111" s="70"/>
      <c r="AD111" s="48"/>
      <c r="AE111"/>
    </row>
    <row r="112" spans="1:53" ht="24" customHeight="1" thickBot="1">
      <c r="A112" s="579"/>
      <c r="B112" s="987" t="s">
        <v>670</v>
      </c>
      <c r="C112" s="988"/>
      <c r="D112" s="988"/>
      <c r="E112" s="989"/>
      <c r="F112" s="821">
        <v>0</v>
      </c>
      <c r="G112" s="612"/>
      <c r="H112" s="577"/>
      <c r="I112" s="577"/>
      <c r="J112" s="577"/>
      <c r="K112" s="577"/>
      <c r="L112" s="884">
        <f>O112</f>
        <v>23200</v>
      </c>
      <c r="M112" s="578"/>
      <c r="N112" s="608"/>
      <c r="O112" s="915">
        <f>IF((F119+F99+F79+L79+L125+O103+O134+O136+L99)&gt;0,L111,(IF(L111&gt;S106,L111,S106)))</f>
        <v>23200</v>
      </c>
      <c r="P112" s="916" t="s">
        <v>690</v>
      </c>
      <c r="Q112" s="1008" t="s">
        <v>70</v>
      </c>
      <c r="R112" s="962"/>
      <c r="S112" s="332">
        <f>7920*$S$180</f>
        <v>20880</v>
      </c>
      <c r="U112" s="561" t="s">
        <v>82</v>
      </c>
      <c r="V112" s="253">
        <f>IF(AND((F106+(F109/0.736))&lt;=10,F108&lt;=5),1.28,W112)</f>
        <v>1.28</v>
      </c>
      <c r="W112" s="253">
        <f>IF(AND((F106+(F109/0.736))&lt;=10,F108&lt;=11),1.46,X112)</f>
        <v>1.46</v>
      </c>
      <c r="X112" s="253">
        <f>IF(AND((F106+(F109/0.736))&lt;=10,F108&lt;=20),1.56,Y112)</f>
        <v>1.56</v>
      </c>
      <c r="Y112" s="253">
        <f>IF(AND((F106+(F109/0.736))&lt;=10,F108&lt;=50),1.62,Z112)</f>
        <v>1.62</v>
      </c>
      <c r="Z112" s="253">
        <f>IF(AND((F106+(F109/0.736))&lt;=10,F108&gt;50),1.66,V113)</f>
        <v>1.25</v>
      </c>
      <c r="AA112" s="341"/>
      <c r="AC112" s="537"/>
      <c r="AD112" s="1031" t="s">
        <v>575</v>
      </c>
      <c r="AE112" s="1032"/>
      <c r="AF112" s="1032"/>
      <c r="AG112" s="1032"/>
      <c r="AH112" s="1032"/>
      <c r="AI112" s="1032"/>
      <c r="AJ112" s="1033"/>
    </row>
    <row r="113" spans="1:88" ht="24" customHeight="1" thickBot="1">
      <c r="A113" s="579"/>
      <c r="B113" s="987" t="s">
        <v>251</v>
      </c>
      <c r="C113" s="988"/>
      <c r="D113" s="988"/>
      <c r="E113" s="989"/>
      <c r="F113" s="821">
        <v>0</v>
      </c>
      <c r="G113" s="612"/>
      <c r="H113" s="577"/>
      <c r="I113" s="577"/>
      <c r="J113" s="577"/>
      <c r="K113" s="577"/>
      <c r="L113" s="577"/>
      <c r="M113" s="578"/>
      <c r="N113" s="608"/>
      <c r="O113" s="887"/>
      <c r="P113" s="911"/>
      <c r="U113" s="561" t="s">
        <v>84</v>
      </c>
      <c r="V113" s="253">
        <f>IF(AND((F106+(F109/0.736))&lt;=50,F108&lt;=5),1.25,W113)</f>
        <v>1.25</v>
      </c>
      <c r="W113" s="253">
        <f>IF(AND((F106+(F109/0.736))&lt;=50,F108&lt;=11),1.43,X113)</f>
        <v>1.43</v>
      </c>
      <c r="X113" s="253">
        <f>IF(AND((F106+(F109/0.736))&lt;=50,F108&lt;=20),1.53,Y113)</f>
        <v>1.53</v>
      </c>
      <c r="Y113" s="253">
        <f>IF(AND((F106+(F109/0.736))&lt;=50,F108&lt;=50),1.59,Z113)</f>
        <v>1.59</v>
      </c>
      <c r="Z113" s="253">
        <f>IF(AND((F106+(F109/0.736))&lt;=50,F108&gt;50),1.63,V114)</f>
        <v>1.21</v>
      </c>
      <c r="AA113" s="341"/>
      <c r="AC113" s="732"/>
      <c r="AD113" s="706" t="s">
        <v>72</v>
      </c>
      <c r="AE113" s="707" t="s">
        <v>70</v>
      </c>
      <c r="AF113" s="707" t="s">
        <v>576</v>
      </c>
      <c r="AG113" s="707"/>
      <c r="AH113" s="708" t="s">
        <v>577</v>
      </c>
      <c r="AI113" s="708" t="s">
        <v>651</v>
      </c>
      <c r="AJ113" s="709" t="s">
        <v>69</v>
      </c>
    </row>
    <row r="114" spans="1:88" ht="24" customHeight="1" thickBot="1">
      <c r="A114" s="579"/>
      <c r="B114" s="987" t="s">
        <v>119</v>
      </c>
      <c r="C114" s="988"/>
      <c r="D114" s="988"/>
      <c r="E114" s="989"/>
      <c r="F114" s="583">
        <v>0</v>
      </c>
      <c r="G114" s="612"/>
      <c r="H114" s="969" t="s">
        <v>138</v>
      </c>
      <c r="I114" s="970"/>
      <c r="J114" s="970"/>
      <c r="K114" s="970"/>
      <c r="L114" s="971"/>
      <c r="M114" s="578"/>
      <c r="N114" s="608"/>
      <c r="O114" s="887"/>
      <c r="P114" s="551"/>
      <c r="Q114" s="962" t="s">
        <v>161</v>
      </c>
      <c r="R114" s="962"/>
      <c r="S114" s="962"/>
      <c r="U114" s="561" t="s">
        <v>86</v>
      </c>
      <c r="V114" s="253">
        <f>IF(AND((F106+(F109/0.736))&lt;=100,F108&lt;=5),1.21,W114)</f>
        <v>1.21</v>
      </c>
      <c r="W114" s="253">
        <f>IF(AND((F106+(F109/0.736))&lt;=100,F108&lt;=11),1.38,X114)</f>
        <v>1.38</v>
      </c>
      <c r="X114" s="253">
        <f>IF(AND((F106+(F109/0.736))&lt;=100,F108&lt;=20),1.48,Y114)</f>
        <v>1.48</v>
      </c>
      <c r="Y114" s="253">
        <f>IF(AND((F106+(F109/0.736))&lt;=100,F108&lt;=50),1.54,Z114)</f>
        <v>1.54</v>
      </c>
      <c r="Z114" s="253">
        <f>IF(AND((F106+(F109/0.736))&lt;=100,F108&gt;50),1.58,V115)</f>
        <v>1.1599999999999999</v>
      </c>
      <c r="AA114" s="341"/>
      <c r="AC114" s="733" t="s">
        <v>582</v>
      </c>
      <c r="AD114" s="710">
        <f>$L$116</f>
        <v>0</v>
      </c>
      <c r="AE114" s="711">
        <f>L115+(L118/0.736)</f>
        <v>0</v>
      </c>
      <c r="AF114" s="712">
        <f>$L$117</f>
        <v>0</v>
      </c>
      <c r="AG114" s="712"/>
      <c r="AH114" s="713">
        <f>$L$119</f>
        <v>0</v>
      </c>
      <c r="AI114" s="713">
        <f>L118</f>
        <v>0</v>
      </c>
      <c r="AJ114" s="734">
        <f>$L$124</f>
        <v>1.3</v>
      </c>
      <c r="BA114" s="798"/>
    </row>
    <row r="115" spans="1:88" ht="24" customHeight="1" thickBot="1">
      <c r="A115" s="579"/>
      <c r="B115" s="987" t="s">
        <v>81</v>
      </c>
      <c r="C115" s="988"/>
      <c r="D115" s="988"/>
      <c r="E115" s="989"/>
      <c r="F115" s="585">
        <f>S111</f>
        <v>4640</v>
      </c>
      <c r="G115" s="612"/>
      <c r="H115" s="987" t="s">
        <v>520</v>
      </c>
      <c r="I115" s="988"/>
      <c r="J115" s="988"/>
      <c r="K115" s="989"/>
      <c r="L115" s="582">
        <v>0</v>
      </c>
      <c r="M115" s="578"/>
      <c r="N115" s="608"/>
      <c r="O115" s="887"/>
      <c r="P115" s="551"/>
      <c r="Q115" s="1006" t="s">
        <v>156</v>
      </c>
      <c r="R115" s="1006"/>
      <c r="S115" s="332">
        <f>+S104*2.5</f>
        <v>36250</v>
      </c>
      <c r="U115" s="561" t="s">
        <v>87</v>
      </c>
      <c r="V115" s="253">
        <f>IF(AND((F106+(F109/0.736))&lt;=200,F108&lt;=5),1.16,W115)</f>
        <v>1.1599999999999999</v>
      </c>
      <c r="W115" s="253">
        <f>IF(AND((F106+(F109/0.736))&lt;=200,F108&lt;=11),1.32,X115)</f>
        <v>1.32</v>
      </c>
      <c r="X115" s="253">
        <f>IF(AND((F106+(F109/0.736))&lt;=200,F108&lt;=20),1.41,Y115)</f>
        <v>1.41</v>
      </c>
      <c r="Y115" s="253">
        <f>IF(AND((F106+(F109/0.736))&lt;=200,F108&lt;=50),1.47,Z115)</f>
        <v>1.47</v>
      </c>
      <c r="Z115" s="253">
        <f>IF(AND((F106+(F109/0.736))&lt;=200,F108&gt;50),1.51,V116)</f>
        <v>1.0900000000000001</v>
      </c>
      <c r="AA115" s="341"/>
      <c r="AC115" s="735" t="s">
        <v>579</v>
      </c>
      <c r="AD115" s="848">
        <f>MAX(AD114:AD114)</f>
        <v>0</v>
      </c>
      <c r="AE115" s="849">
        <f>MAX(AE114:AE114)</f>
        <v>0</v>
      </c>
      <c r="AF115" s="849">
        <f>MAX(AF114:AF114)</f>
        <v>0</v>
      </c>
      <c r="AG115" s="849"/>
      <c r="AH115" s="850">
        <f>MAX(AH114:AH114)</f>
        <v>0</v>
      </c>
      <c r="AI115" s="850">
        <f>MAX(AI114:AI114)</f>
        <v>0</v>
      </c>
      <c r="AJ115" s="851">
        <f>AJ114</f>
        <v>1.3</v>
      </c>
    </row>
    <row r="116" spans="1:88" ht="24" customHeight="1" thickBot="1">
      <c r="A116" s="579"/>
      <c r="B116" s="987" t="s">
        <v>83</v>
      </c>
      <c r="C116" s="988"/>
      <c r="D116" s="988"/>
      <c r="E116" s="989"/>
      <c r="F116" s="585">
        <f>S112</f>
        <v>20880</v>
      </c>
      <c r="G116" s="612"/>
      <c r="H116" s="987" t="s">
        <v>72</v>
      </c>
      <c r="I116" s="988"/>
      <c r="J116" s="988"/>
      <c r="K116" s="989"/>
      <c r="L116" s="581">
        <v>0</v>
      </c>
      <c r="M116" s="578"/>
      <c r="N116" s="608"/>
      <c r="O116" s="887"/>
      <c r="P116" s="551"/>
      <c r="Q116" s="1006" t="s">
        <v>157</v>
      </c>
      <c r="R116" s="1007"/>
      <c r="S116" s="332">
        <f>+S104*5</f>
        <v>72500</v>
      </c>
      <c r="U116" s="561" t="s">
        <v>88</v>
      </c>
      <c r="V116" s="253">
        <f>IF(AND((F106+(F109/0.736))&lt;=500,F108&lt;=5),1.09,W116)</f>
        <v>1.0900000000000001</v>
      </c>
      <c r="W116" s="253">
        <f>IF(AND((F106+(F109/0.736))&lt;=500,F108&lt;=11),1.24,X116)</f>
        <v>1.24</v>
      </c>
      <c r="X116" s="253">
        <f>IF(AND((F106+(F109/0.736))&lt;=500,F108&lt;=20),1.33,Y116)</f>
        <v>1.33</v>
      </c>
      <c r="Y116" s="253">
        <f>IF(AND((F106+(F109/0.736))&lt;=500,F108&lt;=50),1.38,Z116)</f>
        <v>1.38</v>
      </c>
      <c r="Z116" s="253">
        <f>IF(AND((F106+(F109/0.736))&lt;=500,F108&gt;50),1.41,V117)</f>
        <v>0</v>
      </c>
      <c r="AA116" s="341"/>
    </row>
    <row r="117" spans="1:88" ht="24" customHeight="1" thickBot="1">
      <c r="A117" s="579"/>
      <c r="B117" s="987" t="s">
        <v>85</v>
      </c>
      <c r="C117" s="988"/>
      <c r="D117" s="988"/>
      <c r="E117" s="989"/>
      <c r="F117" s="613">
        <f>$L$83</f>
        <v>1.2</v>
      </c>
      <c r="G117" s="612"/>
      <c r="H117" s="987" t="s">
        <v>79</v>
      </c>
      <c r="I117" s="988"/>
      <c r="J117" s="988"/>
      <c r="K117" s="989"/>
      <c r="L117" s="581">
        <v>0</v>
      </c>
      <c r="M117" s="578"/>
      <c r="N117" s="608"/>
      <c r="O117" s="887"/>
      <c r="P117" s="551"/>
      <c r="Q117" s="1006" t="s">
        <v>158</v>
      </c>
      <c r="R117" s="1007"/>
      <c r="S117" s="332">
        <f>+S104*7</f>
        <v>101500</v>
      </c>
      <c r="U117" s="561" t="s">
        <v>90</v>
      </c>
      <c r="V117" s="253">
        <f>IF(AND((F106+(F109/0.736))&gt;500,F108&lt;=5),1,W117)</f>
        <v>0</v>
      </c>
      <c r="W117" s="253">
        <f>IF(AND((F106+(F109/0.736))&gt;500,F108&lt;=11),1.14,X117)</f>
        <v>0</v>
      </c>
      <c r="X117" s="253">
        <f>IF(AND((F106+(F109/0.736))&gt;500,F108&lt;=20),1.22,Y117)</f>
        <v>0</v>
      </c>
      <c r="Y117" s="253">
        <f>IF(AND((F106+(F109/0.736))&gt;500,F108&lt;=50),1.27,Z117)</f>
        <v>0</v>
      </c>
      <c r="Z117" s="253">
        <f>IF(AND((F106+(F109/0.736))&gt;500,F108&gt;50),1.3,U109)</f>
        <v>0</v>
      </c>
      <c r="AA117" s="341"/>
      <c r="AC117" s="868" t="s">
        <v>672</v>
      </c>
      <c r="AD117" s="1009">
        <f>IF(F112&lt;=0,0,IF(AND(F112&gt;0,F112&lt;=5),S104,IF(AND(F112&gt;5,F112&lt;=15),(S104*1.5),IF(AND(F112&gt;15,F112&lt;=2000),(X241)))))</f>
        <v>0</v>
      </c>
      <c r="AE117" s="1010"/>
      <c r="AF117" s="53"/>
      <c r="AG117" s="66"/>
      <c r="AH117" s="66"/>
      <c r="AI117" s="66"/>
      <c r="AJ117" s="66"/>
    </row>
    <row r="118" spans="1:88" ht="24" customHeight="1" thickBot="1">
      <c r="A118" s="579"/>
      <c r="B118" s="987" t="s">
        <v>69</v>
      </c>
      <c r="C118" s="988"/>
      <c r="D118" s="988"/>
      <c r="E118" s="989"/>
      <c r="F118" s="586">
        <f>IF(AND($AE$109&lt;=5,$F$108&lt;=5),1.3,$W$111)</f>
        <v>1.3</v>
      </c>
      <c r="G118" s="612"/>
      <c r="H118" s="987" t="s">
        <v>521</v>
      </c>
      <c r="I118" s="988"/>
      <c r="J118" s="988"/>
      <c r="K118" s="989"/>
      <c r="L118" s="582">
        <v>0</v>
      </c>
      <c r="M118" s="578"/>
      <c r="N118" s="608"/>
      <c r="O118" s="887"/>
      <c r="P118" s="551"/>
      <c r="U118" s="567"/>
      <c r="V118" s="533"/>
      <c r="W118" s="533"/>
      <c r="X118" s="533"/>
      <c r="Y118" s="533"/>
      <c r="Z118" s="533"/>
      <c r="AA118" s="343"/>
    </row>
    <row r="119" spans="1:88" ht="24" customHeight="1" thickBot="1">
      <c r="A119" s="579"/>
      <c r="B119" s="984" t="s">
        <v>118</v>
      </c>
      <c r="C119" s="985"/>
      <c r="D119" s="985"/>
      <c r="E119" s="986"/>
      <c r="F119" s="595">
        <f>((F106*F116*F117*F118)+((F109/0.736)*F116*F117*F118))+(F113*0.54*F116)+F114+(F111*F116/0.736)+((F107+F110)*F115)+(F112*F116/0.736)</f>
        <v>0</v>
      </c>
      <c r="G119" s="612"/>
      <c r="H119" s="987" t="s">
        <v>251</v>
      </c>
      <c r="I119" s="988"/>
      <c r="J119" s="988"/>
      <c r="K119" s="989"/>
      <c r="L119" s="581">
        <v>0</v>
      </c>
      <c r="M119" s="608"/>
      <c r="N119" s="608"/>
      <c r="O119" s="887"/>
      <c r="P119" s="551"/>
    </row>
    <row r="120" spans="1:88" ht="24" customHeight="1" thickBot="1">
      <c r="A120" s="579"/>
      <c r="B120" s="1123" t="s">
        <v>684</v>
      </c>
      <c r="C120" s="1124"/>
      <c r="D120" s="1124"/>
      <c r="E120" s="1125"/>
      <c r="F120" s="595">
        <f>IF((F106+F107+F109+F111+F112+F113+F114)=0,Y235,(+X235+Y235+X241))</f>
        <v>0</v>
      </c>
      <c r="G120" s="612"/>
      <c r="H120" s="987" t="s">
        <v>119</v>
      </c>
      <c r="I120" s="988"/>
      <c r="J120" s="988"/>
      <c r="K120" s="989"/>
      <c r="L120" s="583">
        <v>0</v>
      </c>
      <c r="M120" s="608"/>
      <c r="N120" s="608"/>
      <c r="O120" s="887"/>
      <c r="P120" s="551"/>
      <c r="AD120" s="1000" t="s">
        <v>580</v>
      </c>
      <c r="AE120" s="1001"/>
      <c r="AF120" s="1001"/>
      <c r="AG120" s="1001"/>
      <c r="AH120" s="1001"/>
      <c r="AI120" s="1001"/>
      <c r="AJ120" s="1002"/>
    </row>
    <row r="121" spans="1:88" ht="24" customHeight="1" thickBot="1">
      <c r="A121" s="579"/>
      <c r="B121" s="577"/>
      <c r="C121" s="577"/>
      <c r="D121" s="577"/>
      <c r="E121" s="577"/>
      <c r="F121" s="884">
        <f>O121</f>
        <v>14500</v>
      </c>
      <c r="G121" s="612"/>
      <c r="H121" s="987" t="s">
        <v>81</v>
      </c>
      <c r="I121" s="988"/>
      <c r="J121" s="988"/>
      <c r="K121" s="989"/>
      <c r="L121" s="585">
        <f>S111</f>
        <v>4640</v>
      </c>
      <c r="M121" s="578"/>
      <c r="N121" s="608"/>
      <c r="O121" s="915">
        <f>IF((L99+F99+F79+L79+L125+O103+O134+O136+L110)&gt;0,F120,(IF(F120&gt;S104,F120,S104)))</f>
        <v>14500</v>
      </c>
      <c r="P121" s="916" t="s">
        <v>689</v>
      </c>
      <c r="AD121" s="698" t="s">
        <v>72</v>
      </c>
      <c r="AE121" s="696" t="s">
        <v>70</v>
      </c>
      <c r="AF121" s="696" t="s">
        <v>576</v>
      </c>
      <c r="AG121" s="696" t="s">
        <v>259</v>
      </c>
      <c r="AH121" s="696" t="s">
        <v>577</v>
      </c>
      <c r="AI121" s="832" t="s">
        <v>651</v>
      </c>
      <c r="AJ121" s="697" t="s">
        <v>69</v>
      </c>
    </row>
    <row r="122" spans="1:88" s="71" customFormat="1" ht="24" customHeight="1" thickBot="1">
      <c r="A122" s="579"/>
      <c r="B122" s="577"/>
      <c r="C122" s="577"/>
      <c r="D122" s="577"/>
      <c r="E122" s="577"/>
      <c r="F122" s="882"/>
      <c r="G122" s="612"/>
      <c r="H122" s="987" t="s">
        <v>83</v>
      </c>
      <c r="I122" s="988"/>
      <c r="J122" s="988"/>
      <c r="K122" s="989"/>
      <c r="L122" s="585">
        <f>S112</f>
        <v>20880</v>
      </c>
      <c r="M122" s="608"/>
      <c r="N122" s="608"/>
      <c r="O122" s="887"/>
      <c r="P122" s="551"/>
      <c r="U122" s="571"/>
      <c r="V122" s="572"/>
      <c r="W122" s="572"/>
      <c r="X122" s="572"/>
      <c r="Y122" s="572"/>
      <c r="Z122" s="572"/>
      <c r="AA122" s="339"/>
      <c r="AB122" s="4"/>
      <c r="AC122" s="4"/>
      <c r="AD122" s="688">
        <f>+AD109+AD94+AD115</f>
        <v>0</v>
      </c>
      <c r="AE122" s="689">
        <f>+AE109+AE94+AE115</f>
        <v>0</v>
      </c>
      <c r="AF122" s="689">
        <f>+AF109+AF94+AF115</f>
        <v>0</v>
      </c>
      <c r="AG122" s="689">
        <f>+AG109</f>
        <v>0</v>
      </c>
      <c r="AH122" s="689">
        <f>+AH109+AH94+AH115</f>
        <v>0</v>
      </c>
      <c r="AI122" s="689">
        <f>+AI109+AI94+AI115</f>
        <v>0</v>
      </c>
      <c r="AJ122" s="854">
        <f>MAX(AJ94,AJ115,AJ109)</f>
        <v>1.3</v>
      </c>
      <c r="CC122" s="4"/>
      <c r="CD122" s="4"/>
      <c r="CE122" s="4"/>
      <c r="CF122" s="4"/>
      <c r="CG122" s="4"/>
      <c r="CH122" s="4"/>
      <c r="CI122" s="4"/>
      <c r="CJ122" s="4"/>
    </row>
    <row r="123" spans="1:88" ht="24" customHeight="1">
      <c r="A123" s="579"/>
      <c r="B123" s="992" t="s">
        <v>538</v>
      </c>
      <c r="C123" s="993"/>
      <c r="D123" s="993"/>
      <c r="E123" s="993"/>
      <c r="F123" s="994"/>
      <c r="G123" s="612"/>
      <c r="H123" s="987" t="s">
        <v>85</v>
      </c>
      <c r="I123" s="988"/>
      <c r="J123" s="988"/>
      <c r="K123" s="989"/>
      <c r="L123" s="613">
        <f>$L$83</f>
        <v>1.2</v>
      </c>
      <c r="M123" s="578"/>
      <c r="N123" s="608"/>
      <c r="O123" s="887"/>
      <c r="P123" s="551"/>
      <c r="R123" s="1166" t="s">
        <v>85</v>
      </c>
      <c r="S123" s="609">
        <v>1.2</v>
      </c>
      <c r="U123" s="340"/>
      <c r="V123" s="564" t="s">
        <v>71</v>
      </c>
      <c r="W123" s="66"/>
      <c r="X123" s="66"/>
      <c r="Y123" s="66"/>
      <c r="Z123" s="66"/>
      <c r="AA123" s="341"/>
      <c r="CC123" s="71"/>
      <c r="CD123" s="71"/>
      <c r="CE123" s="71"/>
      <c r="CF123" s="71"/>
      <c r="CG123" s="71"/>
      <c r="CH123" s="71"/>
      <c r="CI123" s="71"/>
      <c r="CJ123" s="71"/>
    </row>
    <row r="124" spans="1:88" ht="24" customHeight="1" thickBot="1">
      <c r="A124" s="579"/>
      <c r="B124" s="865" t="s">
        <v>647</v>
      </c>
      <c r="C124" s="750" t="s">
        <v>539</v>
      </c>
      <c r="D124" s="751"/>
      <c r="E124" s="752"/>
      <c r="F124" s="585">
        <f>IF(B124="si",S104,0)</f>
        <v>0</v>
      </c>
      <c r="G124" s="612"/>
      <c r="H124" s="987" t="s">
        <v>69</v>
      </c>
      <c r="I124" s="988"/>
      <c r="J124" s="988"/>
      <c r="K124" s="989"/>
      <c r="L124" s="586">
        <f>IF(AND($L$115&lt;=5,$L$117&lt;=5),1.3,$W$142)</f>
        <v>1.3</v>
      </c>
      <c r="M124" s="578"/>
      <c r="N124" s="608"/>
      <c r="O124" s="887"/>
      <c r="P124" s="551"/>
      <c r="R124" s="1167"/>
      <c r="S124" s="610">
        <v>1.3</v>
      </c>
      <c r="U124" s="565" t="s">
        <v>73</v>
      </c>
      <c r="V124" s="564" t="s">
        <v>74</v>
      </c>
      <c r="W124" s="564" t="s">
        <v>75</v>
      </c>
      <c r="X124" s="564" t="s">
        <v>76</v>
      </c>
      <c r="Y124" s="564" t="s">
        <v>77</v>
      </c>
      <c r="Z124" s="564" t="s">
        <v>78</v>
      </c>
      <c r="AA124" s="559"/>
      <c r="AB124" s="71"/>
      <c r="AC124" s="71"/>
      <c r="AD124" s="71"/>
    </row>
    <row r="125" spans="1:88" ht="24" customHeight="1" thickBot="1">
      <c r="A125" s="579"/>
      <c r="B125" s="865" t="s">
        <v>647</v>
      </c>
      <c r="C125" s="750" t="s">
        <v>540</v>
      </c>
      <c r="D125" s="751"/>
      <c r="E125" s="752"/>
      <c r="F125" s="585">
        <f>IF(B125="si",S104,0)</f>
        <v>0</v>
      </c>
      <c r="G125" s="612"/>
      <c r="H125" s="984" t="s">
        <v>140</v>
      </c>
      <c r="I125" s="985"/>
      <c r="J125" s="985"/>
      <c r="K125" s="986"/>
      <c r="L125" s="595">
        <f>((L115*L122*L123*L124)+L120+(L118/0.736*L122*L123*L124)+(PRODUCT(L116,L121)))+(L119*0.54*L122*L123)</f>
        <v>0</v>
      </c>
      <c r="M125" s="578"/>
      <c r="N125" s="593"/>
      <c r="O125" s="888"/>
      <c r="P125" s="551"/>
      <c r="R125" s="1168"/>
      <c r="S125" s="611">
        <v>1.45</v>
      </c>
      <c r="U125" s="566" t="s">
        <v>80</v>
      </c>
      <c r="V125" s="253">
        <f>IF(AND($L$106&lt;=5,$L$108&lt;=5),1.3,W125)</f>
        <v>1.3</v>
      </c>
      <c r="W125" s="253">
        <f>IF(AND($L$106&lt;=5,$L$108&lt;=11),1.48,X125)</f>
        <v>1.48</v>
      </c>
      <c r="X125" s="253">
        <f>IF(AND($L$106&lt;=5,$L$108&lt;=20),1.59,Y125)</f>
        <v>1.59</v>
      </c>
      <c r="Y125" s="253">
        <f>IF(AND($L$106&lt;=5,$L$108&lt;=50),1.65,Z125)</f>
        <v>1.65</v>
      </c>
      <c r="Z125" s="253">
        <f>IF(AND($L$106&lt;=5,$L$108&gt;50),1.69,V126)</f>
        <v>1.28</v>
      </c>
      <c r="AA125" s="341"/>
      <c r="AD125" s="1015" t="s">
        <v>659</v>
      </c>
      <c r="AE125" s="4" t="s">
        <v>661</v>
      </c>
      <c r="AF125" s="4">
        <f>IF(F70=0,0,F78)</f>
        <v>0</v>
      </c>
      <c r="AG125" s="1036"/>
    </row>
    <row r="126" spans="1:88" ht="24" customHeight="1" thickBot="1">
      <c r="A126" s="579"/>
      <c r="B126" s="865" t="s">
        <v>647</v>
      </c>
      <c r="C126" s="750" t="s">
        <v>541</v>
      </c>
      <c r="D126" s="751"/>
      <c r="E126" s="752"/>
      <c r="F126" s="585">
        <f>IF(B126="si",S104,0)</f>
        <v>0</v>
      </c>
      <c r="G126" s="612"/>
      <c r="H126" s="1123" t="s">
        <v>684</v>
      </c>
      <c r="I126" s="1124"/>
      <c r="J126" s="1124"/>
      <c r="K126" s="1125"/>
      <c r="L126" s="595">
        <f>+X259</f>
        <v>0</v>
      </c>
      <c r="M126" s="577"/>
      <c r="N126" s="615"/>
      <c r="O126" s="889"/>
      <c r="P126" s="551"/>
      <c r="U126" s="561" t="s">
        <v>82</v>
      </c>
      <c r="V126" s="253">
        <f>IF(AND($L$106&lt;=10,$L$108&lt;=5),1.28,W126)</f>
        <v>1.28</v>
      </c>
      <c r="W126" s="253">
        <f>IF(AND($L$106&lt;=10,$L$108&lt;=11),1.46,X126)</f>
        <v>1.46</v>
      </c>
      <c r="X126" s="253">
        <f>IF(AND($L$106&lt;=10,$L$108&lt;=20),1.56,Y126)</f>
        <v>1.56</v>
      </c>
      <c r="Y126" s="253">
        <f>IF(AND($L$106&lt;=10,$L$108&lt;=50),1.62,Z126)</f>
        <v>1.62</v>
      </c>
      <c r="Z126" s="253">
        <f>IF(AND($L$106=10,$L$108&gt;50),1.66,V127)</f>
        <v>1.25</v>
      </c>
      <c r="AA126" s="341"/>
      <c r="AD126" s="1015"/>
      <c r="AE126" s="4" t="s">
        <v>83</v>
      </c>
      <c r="AF126" s="4">
        <f>IF(L70=0,0,L78)</f>
        <v>0</v>
      </c>
      <c r="AG126" s="1036"/>
    </row>
    <row r="127" spans="1:88" ht="24" customHeight="1" thickBot="1">
      <c r="A127" s="579"/>
      <c r="B127" s="865" t="s">
        <v>647</v>
      </c>
      <c r="C127" s="750" t="s">
        <v>542</v>
      </c>
      <c r="D127" s="751"/>
      <c r="E127" s="752"/>
      <c r="F127" s="585">
        <f>IF(B127="si",S104,0)</f>
        <v>0</v>
      </c>
      <c r="G127" s="612"/>
      <c r="H127" s="577"/>
      <c r="I127" s="577"/>
      <c r="J127" s="577"/>
      <c r="K127" s="577"/>
      <c r="L127" s="884">
        <f>IF((L99+F99+F79+L79+O103+O134+O136+L110)&gt;0,L126,(IF(L126&gt;S104,L126,S104)))</f>
        <v>14500</v>
      </c>
      <c r="M127" s="577"/>
      <c r="N127" s="616"/>
      <c r="O127" s="915">
        <f>IF((L99+F99+F79+L79+O103+O134+O136+L110)&gt;0,L126,(IF(L126&gt;S104,L126,S104)))</f>
        <v>14500</v>
      </c>
      <c r="P127" s="916" t="s">
        <v>688</v>
      </c>
      <c r="U127" s="561" t="s">
        <v>84</v>
      </c>
      <c r="V127" s="253">
        <f>IF(AND($L$106&lt;=50,$L$108&lt;=5),1.25,W127)</f>
        <v>1.25</v>
      </c>
      <c r="W127" s="253">
        <f>IF(AND($L$106&lt;=50,$L$108&lt;=11),1.43,X127)</f>
        <v>1.43</v>
      </c>
      <c r="X127" s="253">
        <f>IF(AND($L$106&lt;=50,$L$108&lt;=20),1.53,Y127)</f>
        <v>1.53</v>
      </c>
      <c r="Y127" s="253">
        <f>IF(AND($L$106&lt;=50,$L$108&lt;=50),1.59,Z127)</f>
        <v>1.59</v>
      </c>
      <c r="Z127" s="253">
        <f>IF(AND($L$106&lt;=50,$L$108&gt;50),1.63,V128)</f>
        <v>1.21</v>
      </c>
      <c r="AA127" s="341"/>
      <c r="AD127" s="1015"/>
      <c r="AE127" s="4" t="s">
        <v>662</v>
      </c>
      <c r="AF127" s="4">
        <f>IF(L117=0,0,L124)</f>
        <v>0</v>
      </c>
      <c r="AG127" s="1036"/>
    </row>
    <row r="128" spans="1:88" ht="24" customHeight="1" thickBot="1">
      <c r="A128" s="579"/>
      <c r="B128" s="865" t="s">
        <v>647</v>
      </c>
      <c r="C128" s="750" t="s">
        <v>543</v>
      </c>
      <c r="D128" s="751"/>
      <c r="E128" s="752"/>
      <c r="F128" s="585">
        <f>IF(B128="si",S104,0)</f>
        <v>0</v>
      </c>
      <c r="G128" s="612"/>
      <c r="H128" s="577"/>
      <c r="I128" s="577"/>
      <c r="J128" s="577"/>
      <c r="K128" s="577"/>
      <c r="L128" s="577"/>
      <c r="M128" s="670"/>
      <c r="N128" s="616"/>
      <c r="O128" s="890"/>
      <c r="P128" s="551"/>
      <c r="U128" s="561" t="s">
        <v>86</v>
      </c>
      <c r="V128" s="253">
        <f>IF(AND($L$106&lt;=100,$L$108&lt;=5),1.21,W128)</f>
        <v>1.21</v>
      </c>
      <c r="W128" s="253">
        <f>IF(AND($L$106&lt;=100,$L$108&lt;=11),1.38,X128)</f>
        <v>1.38</v>
      </c>
      <c r="X128" s="253">
        <f>IF(AND($L$106&lt;=100,$L$108&lt;=20),1.48,Y128)</f>
        <v>1.48</v>
      </c>
      <c r="Y128" s="253">
        <f>IF(AND($L$106&lt;=100,$L$108&lt;=50),1.54,Z128)</f>
        <v>1.54</v>
      </c>
      <c r="Z128" s="253">
        <f>IF(AND($L$106&lt;=100,$L$108&gt;50),1.58,V129)</f>
        <v>1.1599999999999999</v>
      </c>
      <c r="AA128" s="341"/>
      <c r="AD128" s="1015" t="s">
        <v>660</v>
      </c>
      <c r="AE128" s="4" t="s">
        <v>663</v>
      </c>
      <c r="AF128" s="4">
        <f>IF(F90=0,0,F98)</f>
        <v>0</v>
      </c>
      <c r="AG128" s="1036"/>
    </row>
    <row r="129" spans="1:33" ht="24" customHeight="1" thickBot="1">
      <c r="A129" s="579"/>
      <c r="B129" s="865" t="s">
        <v>647</v>
      </c>
      <c r="C129" s="750" t="s">
        <v>544</v>
      </c>
      <c r="D129" s="751"/>
      <c r="E129" s="752"/>
      <c r="F129" s="585">
        <f>IF(B129="si",S104,0)</f>
        <v>0</v>
      </c>
      <c r="G129" s="612"/>
      <c r="H129" s="969" t="s">
        <v>159</v>
      </c>
      <c r="I129" s="970"/>
      <c r="J129" s="970"/>
      <c r="K129" s="970"/>
      <c r="L129" s="971"/>
      <c r="M129" s="577"/>
      <c r="N129" s="616"/>
      <c r="O129" s="890"/>
      <c r="P129" s="551"/>
      <c r="Q129" s="976">
        <f>IF(G47="ampliatorio",J140-J141,J140)</f>
        <v>0</v>
      </c>
      <c r="R129" s="977"/>
      <c r="S129" s="978"/>
      <c r="U129" s="561" t="s">
        <v>87</v>
      </c>
      <c r="V129" s="253">
        <f>IF(AND($L$106&lt;=200,$L$108&lt;=5),1.16,W129)</f>
        <v>1.1599999999999999</v>
      </c>
      <c r="W129" s="253">
        <f>IF(AND($L$106&lt;=200,$L$108&lt;=11),1.32,X129)</f>
        <v>1.32</v>
      </c>
      <c r="X129" s="253">
        <f>IF(AND($L$106&lt;=200,$L$108&lt;=20),1.41,Y129)</f>
        <v>1.41</v>
      </c>
      <c r="Y129" s="253">
        <f>IF(AND($L$106&lt;=200,$L$108&lt;=50),1.47,Z129)</f>
        <v>1.47</v>
      </c>
      <c r="Z129" s="253">
        <f>IF(AND($L$106&lt;=200,$L$108&gt;50),1.51,V130)</f>
        <v>1.0900000000000001</v>
      </c>
      <c r="AA129" s="341"/>
      <c r="AD129" s="1015"/>
      <c r="AE129" s="4" t="s">
        <v>664</v>
      </c>
      <c r="AF129" s="4">
        <f>IF(L90=0,0,L98)</f>
        <v>0</v>
      </c>
      <c r="AG129" s="1036"/>
    </row>
    <row r="130" spans="1:33" ht="24" customHeight="1" thickBot="1">
      <c r="A130" s="579"/>
      <c r="B130" s="865" t="s">
        <v>647</v>
      </c>
      <c r="C130" s="750" t="s">
        <v>545</v>
      </c>
      <c r="D130" s="751"/>
      <c r="E130" s="752"/>
      <c r="F130" s="585">
        <f>IF(B130="si",S104,0)</f>
        <v>0</v>
      </c>
      <c r="G130" s="612"/>
      <c r="H130" s="974" t="s">
        <v>160</v>
      </c>
      <c r="I130" s="975"/>
      <c r="J130" s="594">
        <v>0</v>
      </c>
      <c r="K130" s="990">
        <f>IF(J130&lt;=0,0,IF(AND(J130&gt;0,J130&lt;=5),S115,IF(AND(J130&gt;5,J130&lt;=10),S116,IF(AND(J130&gt;10),S117))))</f>
        <v>0</v>
      </c>
      <c r="L130" s="991"/>
      <c r="M130" s="577"/>
      <c r="N130" s="616"/>
      <c r="O130" s="890"/>
      <c r="P130" s="551"/>
      <c r="Q130" s="742"/>
      <c r="R130" s="585">
        <f>IF(B133="si",S104,0)</f>
        <v>0</v>
      </c>
      <c r="U130" s="561" t="s">
        <v>88</v>
      </c>
      <c r="V130" s="253">
        <f>IF(AND($L$106&lt;=500,$L$108&lt;=5),1.09,W130)</f>
        <v>1.0900000000000001</v>
      </c>
      <c r="W130" s="253">
        <f>IF(AND($L$106&lt;=500,$L$108&lt;=11),1.24,X130)</f>
        <v>1.24</v>
      </c>
      <c r="X130" s="253">
        <f>IF(AND($L$106&lt;=500,$L$108&lt;=20),1.33,Y130)</f>
        <v>1.33</v>
      </c>
      <c r="Y130" s="253">
        <f>IF(AND($L$106&lt;=500,$L$108&lt;=50),1.38,Z130)</f>
        <v>1.38</v>
      </c>
      <c r="Z130" s="253">
        <f>IF(AND($L$106&lt;=500,$L$108&gt;50),1.41,V131)</f>
        <v>0</v>
      </c>
      <c r="AA130" s="341"/>
      <c r="AD130" s="1015"/>
      <c r="AE130" s="4" t="s">
        <v>665</v>
      </c>
      <c r="AF130" s="4">
        <f>IF(F108=0,0,F118)</f>
        <v>0</v>
      </c>
      <c r="AG130" s="1036"/>
    </row>
    <row r="131" spans="1:33" ht="24" customHeight="1" thickBot="1">
      <c r="A131" s="579"/>
      <c r="B131" s="865" t="s">
        <v>647</v>
      </c>
      <c r="C131" s="750" t="s">
        <v>546</v>
      </c>
      <c r="D131" s="751"/>
      <c r="E131" s="752"/>
      <c r="F131" s="585">
        <f>IF(B131="si",S107,0)</f>
        <v>0</v>
      </c>
      <c r="G131" s="612"/>
      <c r="H131" s="974" t="s">
        <v>160</v>
      </c>
      <c r="I131" s="975"/>
      <c r="J131" s="594">
        <v>0</v>
      </c>
      <c r="K131" s="990">
        <f>IF(J131&lt;=0,0,IF(AND(J131&gt;0,J131&lt;=5),S115,IF(AND(J131&gt;5,J131&lt;=10),S116,IF(AND(J131&gt;10),S117))))</f>
        <v>0</v>
      </c>
      <c r="L131" s="991"/>
      <c r="M131" s="577"/>
      <c r="N131" s="616"/>
      <c r="O131" s="890"/>
      <c r="P131" s="551"/>
      <c r="Q131" s="89"/>
      <c r="R131" s="585">
        <f>IF(B134="si",S104,0)</f>
        <v>0</v>
      </c>
      <c r="U131" s="561" t="s">
        <v>90</v>
      </c>
      <c r="V131" s="253">
        <f>IF(AND($L$106&gt;500,$L$108&lt;=5),1,W131)</f>
        <v>0</v>
      </c>
      <c r="W131" s="253">
        <f>IF(AND($L$106&gt;500,$L$108&lt;=11),1.14,X131)</f>
        <v>0</v>
      </c>
      <c r="X131" s="253">
        <f>IF(AND($L$106&gt;500,$L$108&lt;=20),1.22,Y131)</f>
        <v>0</v>
      </c>
      <c r="Y131" s="253">
        <f>IF(AND($L$106&gt;500,$L$108&lt;=50),1.27,Z131)</f>
        <v>0</v>
      </c>
      <c r="Z131" s="253">
        <f>IF(AND($L$106&gt;500,$L$108&gt;50),1.3,U123)</f>
        <v>0</v>
      </c>
      <c r="AA131" s="341"/>
    </row>
    <row r="132" spans="1:33" ht="24" customHeight="1" thickBot="1">
      <c r="A132" s="579"/>
      <c r="B132" s="865" t="s">
        <v>647</v>
      </c>
      <c r="C132" s="750" t="s">
        <v>547</v>
      </c>
      <c r="D132" s="751"/>
      <c r="E132" s="752"/>
      <c r="F132" s="585">
        <f>IF(B132="si",S104,0)</f>
        <v>0</v>
      </c>
      <c r="G132" s="612"/>
      <c r="H132" s="974" t="s">
        <v>160</v>
      </c>
      <c r="I132" s="975"/>
      <c r="J132" s="594">
        <v>0</v>
      </c>
      <c r="K132" s="990">
        <f>IF(J132&lt;=0,0,IF(AND(J132&gt;0,J132&lt;=5),S115,IF(AND(J132&gt;5,J132&lt;=10),S116,IF(AND(J132&gt;10),S117))))</f>
        <v>0</v>
      </c>
      <c r="L132" s="991"/>
      <c r="M132" s="577"/>
      <c r="N132" s="616"/>
      <c r="O132" s="890"/>
      <c r="P132" s="551"/>
      <c r="Q132" s="742"/>
      <c r="U132" s="562"/>
      <c r="V132" s="342"/>
      <c r="W132" s="342"/>
      <c r="X132" s="342"/>
      <c r="Y132" s="342"/>
      <c r="Z132" s="342"/>
      <c r="AA132" s="343"/>
    </row>
    <row r="133" spans="1:33" ht="24" customHeight="1" thickBot="1">
      <c r="A133" s="579"/>
      <c r="B133" s="866" t="s">
        <v>647</v>
      </c>
      <c r="C133" s="860" t="s">
        <v>655</v>
      </c>
      <c r="D133" s="861"/>
      <c r="E133" s="861"/>
      <c r="F133" s="1161">
        <f>IF((R130+R131)=(S104*2),S104,(R130+R131))</f>
        <v>0</v>
      </c>
      <c r="G133" s="612"/>
      <c r="H133" s="974" t="s">
        <v>160</v>
      </c>
      <c r="I133" s="975"/>
      <c r="J133" s="594">
        <v>0</v>
      </c>
      <c r="K133" s="990">
        <f>IF(J133&lt;=0,0,IF(AND(J133&gt;0,J133&lt;=5),S115,IF(AND(J133&gt;5,J133&lt;=10),S116,IF(AND(J133&gt;10),S117))))</f>
        <v>0</v>
      </c>
      <c r="L133" s="991"/>
      <c r="M133" s="577"/>
      <c r="N133" s="608"/>
      <c r="O133" s="887"/>
      <c r="P133" s="551"/>
      <c r="Q133" s="742"/>
    </row>
    <row r="134" spans="1:33" ht="24" customHeight="1" thickBot="1">
      <c r="A134" s="579"/>
      <c r="B134" s="867" t="s">
        <v>647</v>
      </c>
      <c r="C134" s="862" t="s">
        <v>666</v>
      </c>
      <c r="D134" s="863"/>
      <c r="E134" s="863"/>
      <c r="F134" s="1162"/>
      <c r="G134" s="612"/>
      <c r="H134" s="974" t="s">
        <v>160</v>
      </c>
      <c r="I134" s="975"/>
      <c r="J134" s="649">
        <v>0</v>
      </c>
      <c r="K134" s="990">
        <f>IF(J134&lt;=0,0,IF(AND(J134&gt;0,J134&lt;=5),S115,IF(AND(J134&gt;5,J134&lt;=10),S116,IF(AND(J134&gt;10),S117))))</f>
        <v>0</v>
      </c>
      <c r="L134" s="991"/>
      <c r="M134" s="578"/>
      <c r="N134" s="608"/>
      <c r="O134" s="915">
        <f>+F124+F125+F126+F127+F128+F129+F130+F131+F132+F133</f>
        <v>0</v>
      </c>
      <c r="P134" s="916" t="s">
        <v>686</v>
      </c>
      <c r="Q134" s="100"/>
      <c r="R134" s="24"/>
    </row>
    <row r="135" spans="1:33" ht="24" customHeight="1" thickBot="1">
      <c r="A135" s="579"/>
      <c r="B135" s="981" t="s">
        <v>701</v>
      </c>
      <c r="C135" s="982"/>
      <c r="D135" s="982"/>
      <c r="E135" s="983"/>
      <c r="F135" s="906">
        <f>+F133+F132+F131+F130+F129+F128+F127+F126+F125+F124</f>
        <v>0</v>
      </c>
      <c r="G135" s="905"/>
      <c r="H135" s="981" t="s">
        <v>533</v>
      </c>
      <c r="I135" s="982"/>
      <c r="J135" s="983"/>
      <c r="K135" s="1172">
        <f>K130+K131+K132+K133+K134</f>
        <v>0</v>
      </c>
      <c r="L135" s="1010"/>
      <c r="M135" s="578"/>
      <c r="N135" s="608"/>
      <c r="O135" s="887"/>
      <c r="P135" s="908"/>
      <c r="Q135" s="100"/>
      <c r="R135" s="24"/>
    </row>
    <row r="136" spans="1:33" ht="24" customHeight="1" thickBot="1">
      <c r="A136" s="579"/>
      <c r="B136" s="577"/>
      <c r="C136" s="885"/>
      <c r="D136" s="577"/>
      <c r="E136" s="577"/>
      <c r="F136" s="884">
        <f>O134</f>
        <v>0</v>
      </c>
      <c r="G136" s="796"/>
      <c r="H136" s="809"/>
      <c r="I136" s="809"/>
      <c r="J136" s="809"/>
      <c r="K136" s="1184">
        <f>O136</f>
        <v>0</v>
      </c>
      <c r="L136" s="1185"/>
      <c r="M136" s="578"/>
      <c r="N136" s="608"/>
      <c r="O136" s="915">
        <f>K135</f>
        <v>0</v>
      </c>
      <c r="P136" s="917" t="s">
        <v>687</v>
      </c>
      <c r="R136" s="879">
        <f>$AA$249</f>
        <v>23200</v>
      </c>
    </row>
    <row r="137" spans="1:33" ht="24" customHeight="1" thickBot="1">
      <c r="A137" s="579"/>
      <c r="B137" s="577"/>
      <c r="C137" s="577"/>
      <c r="D137" s="577"/>
      <c r="E137" s="577"/>
      <c r="F137" s="577"/>
      <c r="G137" s="796"/>
      <c r="H137" s="809"/>
      <c r="I137" s="809"/>
      <c r="J137" s="809"/>
      <c r="K137" s="809"/>
      <c r="L137" s="809"/>
      <c r="M137" s="608"/>
      <c r="N137" s="608"/>
      <c r="O137" s="887"/>
      <c r="P137" s="551"/>
      <c r="R137" s="24"/>
    </row>
    <row r="138" spans="1:33" ht="24" customHeight="1" thickBot="1">
      <c r="A138" s="579"/>
      <c r="B138" s="1025" t="s">
        <v>531</v>
      </c>
      <c r="C138" s="1026"/>
      <c r="D138" s="1026"/>
      <c r="E138" s="1026"/>
      <c r="F138" s="1026"/>
      <c r="G138" s="1026"/>
      <c r="H138" s="1026"/>
      <c r="I138" s="1027"/>
      <c r="J138" s="976">
        <f>+IF(L79&gt;0,L79,F79)+IF(F99=L99,F99,F99+L99)+L125+L110+F119</f>
        <v>0</v>
      </c>
      <c r="K138" s="977"/>
      <c r="L138" s="978"/>
      <c r="M138" s="578"/>
      <c r="N138" s="608"/>
      <c r="O138" s="887"/>
      <c r="P138" s="551"/>
    </row>
    <row r="139" spans="1:33" ht="24" customHeight="1" thickBot="1">
      <c r="A139" s="579"/>
      <c r="B139" s="972"/>
      <c r="C139" s="972"/>
      <c r="D139" s="972"/>
      <c r="E139" s="972"/>
      <c r="F139" s="972"/>
      <c r="G139" s="972"/>
      <c r="H139" s="972"/>
      <c r="I139" s="972"/>
      <c r="J139" s="972"/>
      <c r="K139" s="972"/>
      <c r="L139" s="972"/>
      <c r="M139" s="578"/>
      <c r="N139" s="608"/>
      <c r="O139" s="887"/>
      <c r="P139" s="551"/>
      <c r="U139" s="563"/>
      <c r="V139" s="345"/>
      <c r="W139" s="345"/>
      <c r="X139" s="345" t="s">
        <v>208</v>
      </c>
      <c r="Y139" s="345"/>
      <c r="Z139" s="345"/>
      <c r="AA139" s="339"/>
    </row>
    <row r="140" spans="1:33" ht="24" customHeight="1" thickBot="1">
      <c r="A140" s="579"/>
      <c r="B140" s="1181" t="s">
        <v>534</v>
      </c>
      <c r="C140" s="1182"/>
      <c r="D140" s="1182"/>
      <c r="E140" s="1182"/>
      <c r="F140" s="1182"/>
      <c r="G140" s="1182"/>
      <c r="H140" s="1182"/>
      <c r="I140" s="1183"/>
      <c r="J140" s="976">
        <f>IF(O140&lt;F167,F167,O140)</f>
        <v>0</v>
      </c>
      <c r="K140" s="977"/>
      <c r="L140" s="978"/>
      <c r="M140" s="577"/>
      <c r="N140" s="904"/>
      <c r="O140" s="918">
        <f>IF(F79+L79+F99+L99+L103+L110+F119+L125+F135+K135=0,0,O79+O81+O99+O101+O103+O112+O121+O127+O134+O136)</f>
        <v>0</v>
      </c>
      <c r="P140" s="916" t="s">
        <v>702</v>
      </c>
      <c r="U140" s="340"/>
      <c r="V140" s="564" t="s">
        <v>71</v>
      </c>
      <c r="W140" s="66"/>
      <c r="X140" s="66"/>
      <c r="Y140" s="66"/>
      <c r="Z140" s="66"/>
      <c r="AA140" s="341"/>
    </row>
    <row r="141" spans="1:33" ht="24" customHeight="1" thickBot="1">
      <c r="A141" s="579"/>
      <c r="B141" s="1025" t="str">
        <f>IF(G47="ampliatorio","VALOR DEL CONTRATO ORIGINAL ACTUALIZADO"," ")</f>
        <v xml:space="preserve"> </v>
      </c>
      <c r="C141" s="1026"/>
      <c r="D141" s="1026"/>
      <c r="E141" s="1026"/>
      <c r="F141" s="1026"/>
      <c r="G141" s="1026"/>
      <c r="H141" s="1026"/>
      <c r="I141" s="1027"/>
      <c r="J141" s="976" t="str">
        <f>IF(G47="ampliatorio",$Q$54," ")</f>
        <v xml:space="preserve"> </v>
      </c>
      <c r="K141" s="977"/>
      <c r="L141" s="978"/>
      <c r="M141" s="578"/>
      <c r="N141" s="608"/>
      <c r="O141" s="887"/>
      <c r="P141" s="551"/>
      <c r="U141" s="565" t="s">
        <v>73</v>
      </c>
      <c r="V141" s="564" t="s">
        <v>74</v>
      </c>
      <c r="W141" s="564" t="s">
        <v>75</v>
      </c>
      <c r="X141" s="564" t="s">
        <v>76</v>
      </c>
      <c r="Y141" s="564" t="s">
        <v>77</v>
      </c>
      <c r="Z141" s="564" t="s">
        <v>78</v>
      </c>
      <c r="AA141" s="341"/>
    </row>
    <row r="142" spans="1:33" ht="24" customHeight="1" thickBot="1">
      <c r="A142" s="579"/>
      <c r="B142" s="1148">
        <v>0</v>
      </c>
      <c r="C142" s="1149"/>
      <c r="D142" s="1150"/>
      <c r="E142" s="1019" t="str">
        <f>IF(G47="AMPLIATORIO","VOLOR DEL CONTRATO AMPLIATORIO","VALOR DEL HONORARIO CONVENIDO")</f>
        <v>VALOR DEL HONORARIO CONVENIDO</v>
      </c>
      <c r="F142" s="1156"/>
      <c r="G142" s="1156"/>
      <c r="H142" s="1156"/>
      <c r="I142" s="1157"/>
      <c r="J142" s="1163" t="str">
        <f>IF(J146="ERROR","ERROR",IF(B142&gt;=Q129,B142,Q129))</f>
        <v>ERROR</v>
      </c>
      <c r="K142" s="1164"/>
      <c r="L142" s="1165"/>
      <c r="M142" s="578"/>
      <c r="N142" s="608"/>
      <c r="O142" s="887"/>
      <c r="P142" s="551"/>
      <c r="U142" s="566" t="s">
        <v>80</v>
      </c>
      <c r="V142" s="253">
        <f>IF(AND($L$115&lt;=5,$L$117&lt;=5),1.3,W142)</f>
        <v>1.3</v>
      </c>
      <c r="W142" s="253">
        <f>IF(AND($L$115&lt;=5,$L$117&lt;=11),1.48,X142)</f>
        <v>1.48</v>
      </c>
      <c r="X142" s="253">
        <f>IF(AND($L$115&lt;=5,$L$117&lt;=20),1.59,Y142)</f>
        <v>1.59</v>
      </c>
      <c r="Y142" s="253">
        <f>IF(AND($L$115&lt;=5,$L$117&lt;=50),1.65,Z142)</f>
        <v>1.65</v>
      </c>
      <c r="Z142" s="253">
        <f>IF(AND($L$115&lt;=5,$L$117&gt;50),1.69,V143)</f>
        <v>1.28</v>
      </c>
      <c r="AA142" s="341"/>
    </row>
    <row r="143" spans="1:33" ht="24" customHeight="1" thickBot="1">
      <c r="A143" s="579"/>
      <c r="B143" s="972"/>
      <c r="C143" s="972"/>
      <c r="D143" s="972"/>
      <c r="E143" s="972"/>
      <c r="F143" s="972"/>
      <c r="G143" s="972"/>
      <c r="H143" s="972"/>
      <c r="I143" s="972"/>
      <c r="J143" s="972"/>
      <c r="K143" s="972"/>
      <c r="L143" s="972"/>
      <c r="M143" s="578"/>
      <c r="N143" s="608"/>
      <c r="O143" s="887"/>
      <c r="P143" s="551"/>
      <c r="U143" s="561" t="s">
        <v>82</v>
      </c>
      <c r="V143" s="253">
        <f>IF(AND($L$115&lt;=10,$L$117&lt;=5),1.28,W143)</f>
        <v>1.28</v>
      </c>
      <c r="W143" s="253">
        <f>IF(AND($L$115&lt;=10,$L$117&lt;=11),1.46,X143)</f>
        <v>1.46</v>
      </c>
      <c r="X143" s="253">
        <f>IF(AND($L$115&lt;=10,$L$117&lt;=20),1.56,Y143)</f>
        <v>1.56</v>
      </c>
      <c r="Y143" s="253">
        <f>IF(AND($L$115&lt;=10,$L$117&lt;=50),1.62,Z143)</f>
        <v>1.62</v>
      </c>
      <c r="Z143" s="253">
        <f>IF(AND($L$115=10,$L$117&gt;50),1.66,V144)</f>
        <v>1.25</v>
      </c>
      <c r="AA143" s="341"/>
    </row>
    <row r="144" spans="1:33" ht="24" customHeight="1" thickBot="1">
      <c r="A144" s="579"/>
      <c r="B144" s="1019" t="s">
        <v>529</v>
      </c>
      <c r="C144" s="1156"/>
      <c r="D144" s="1157"/>
      <c r="E144" s="1151" t="e">
        <f>[1]!NumLetras(J142)</f>
        <v>#NAME?</v>
      </c>
      <c r="F144" s="1152"/>
      <c r="G144" s="1152"/>
      <c r="H144" s="1152"/>
      <c r="I144" s="1152"/>
      <c r="J144" s="1152"/>
      <c r="K144" s="1152"/>
      <c r="L144" s="1153"/>
      <c r="M144" s="578"/>
      <c r="N144" s="608"/>
      <c r="O144" s="887"/>
      <c r="P144" s="551"/>
      <c r="U144" s="561" t="s">
        <v>84</v>
      </c>
      <c r="V144" s="253">
        <f>IF(AND($L$115&lt;=50,$L$117&lt;=5),1.25,W144)</f>
        <v>1.25</v>
      </c>
      <c r="W144" s="253">
        <f>IF(AND($L$115&lt;=50,$L$117&lt;=11),1.43,X144)</f>
        <v>1.43</v>
      </c>
      <c r="X144" s="253">
        <f>IF(AND($L$115&lt;=50,$L$117&lt;=20),1.53,Y144)</f>
        <v>1.53</v>
      </c>
      <c r="Y144" s="253">
        <f>IF(AND($L$115&lt;=50,$L$117&lt;=50),1.59,Z144)</f>
        <v>1.59</v>
      </c>
      <c r="Z144" s="253">
        <f>IF(AND($L$115&lt;=50,$L$117&gt;50),1.63,V145)</f>
        <v>1.21</v>
      </c>
      <c r="AA144" s="341"/>
    </row>
    <row r="145" spans="1:33" ht="24" customHeight="1" thickBot="1">
      <c r="A145" s="579"/>
      <c r="B145" s="588"/>
      <c r="C145" s="588"/>
      <c r="D145" s="588"/>
      <c r="E145" s="588"/>
      <c r="F145" s="588"/>
      <c r="G145" s="588"/>
      <c r="H145" s="588"/>
      <c r="I145" s="588"/>
      <c r="J145" s="588"/>
      <c r="K145" s="588"/>
      <c r="L145" s="588"/>
      <c r="M145" s="578"/>
      <c r="N145" s="608"/>
      <c r="O145" s="887"/>
      <c r="P145" s="551"/>
      <c r="R145" s="1004" t="s">
        <v>180</v>
      </c>
      <c r="S145" s="1005"/>
      <c r="U145" s="561" t="s">
        <v>86</v>
      </c>
      <c r="V145" s="253">
        <f>IF(AND($L$115&lt;=100,$L$117&lt;=5),1.21,W145)</f>
        <v>1.21</v>
      </c>
      <c r="W145" s="253">
        <f>IF(AND($L$115&lt;=100,$L$117&lt;=11),1.38,X145)</f>
        <v>1.38</v>
      </c>
      <c r="X145" s="253">
        <f>IF(AND($L$115&lt;=100,$L$117&lt;=20),1.48,Y145)</f>
        <v>1.48</v>
      </c>
      <c r="Y145" s="253">
        <f>IF(AND($L$115&lt;=100,$L$117&lt;=50),1.54,Z145)</f>
        <v>1.54</v>
      </c>
      <c r="Z145" s="253">
        <f>IF(AND($L$115&lt;=100,$L$117&gt;50),1.58,V146)</f>
        <v>1.1599999999999999</v>
      </c>
      <c r="AA145" s="341"/>
    </row>
    <row r="146" spans="1:33" ht="24" customHeight="1" thickBot="1">
      <c r="A146" s="579"/>
      <c r="B146" s="590" t="s">
        <v>532</v>
      </c>
      <c r="C146" s="591"/>
      <c r="D146" s="591"/>
      <c r="E146" s="591"/>
      <c r="F146" s="591"/>
      <c r="G146" s="591"/>
      <c r="H146" s="591"/>
      <c r="I146" s="592"/>
      <c r="J146" s="1158" t="str">
        <f>IF(L146="","ERROR","CATEGORIA")</f>
        <v>ERROR</v>
      </c>
      <c r="K146" s="1159"/>
      <c r="L146" s="584"/>
      <c r="M146" s="578"/>
      <c r="N146" s="608"/>
      <c r="O146" s="887"/>
      <c r="P146" s="551"/>
      <c r="R146" s="816">
        <v>18288</v>
      </c>
      <c r="S146" s="817">
        <v>83520</v>
      </c>
      <c r="U146" s="561" t="s">
        <v>87</v>
      </c>
      <c r="V146" s="253">
        <f>IF(AND($L$115&lt;=200,$L$117&lt;=5),1.16,W146)</f>
        <v>1.1599999999999999</v>
      </c>
      <c r="W146" s="253">
        <f>IF(AND($L$115&lt;=200,$L$117&lt;=11),1.32,X146)</f>
        <v>1.32</v>
      </c>
      <c r="X146" s="253">
        <f>IF(AND($L$115&lt;=200,$L$117&lt;=20),1.41,Y146)</f>
        <v>1.41</v>
      </c>
      <c r="Y146" s="253">
        <f>IF(AND($L$115&lt;=200,$L$117&lt;=50),1.47,Z146)</f>
        <v>1.47</v>
      </c>
      <c r="Z146" s="253">
        <f>IF(AND($L$115&lt;=200,$L$117&gt;50),1.51,V147)</f>
        <v>1.0900000000000001</v>
      </c>
      <c r="AA146" s="341"/>
    </row>
    <row r="147" spans="1:33" ht="24" customHeight="1" thickBot="1">
      <c r="A147" s="579"/>
      <c r="B147" s="588"/>
      <c r="C147" s="588"/>
      <c r="D147" s="588"/>
      <c r="E147" s="588"/>
      <c r="F147" s="588"/>
      <c r="G147" s="589"/>
      <c r="H147" s="589"/>
      <c r="I147" s="589"/>
      <c r="J147" s="589"/>
      <c r="K147" s="589"/>
      <c r="L147" s="589"/>
      <c r="M147" s="578"/>
      <c r="N147" s="608"/>
      <c r="O147" s="887"/>
      <c r="P147" s="551"/>
      <c r="R147" s="818">
        <v>1120</v>
      </c>
      <c r="S147" s="819">
        <v>2088</v>
      </c>
      <c r="U147" s="561" t="s">
        <v>88</v>
      </c>
      <c r="V147" s="253">
        <f>IF(AND($L$115&lt;=500,$L$117&lt;=5),1.09,W147)</f>
        <v>1.0900000000000001</v>
      </c>
      <c r="W147" s="253">
        <f>IF(AND($L$115&lt;=500,$L$117&lt;=11),1.24,X147)</f>
        <v>1.24</v>
      </c>
      <c r="X147" s="253">
        <f>IF(AND($L$115&lt;=500,$L$117&lt;=20),1.33,Y147)</f>
        <v>1.33</v>
      </c>
      <c r="Y147" s="253">
        <f>IF(AND($L$115&lt;=500,$L$117&lt;=50),1.38,Z147)</f>
        <v>1.38</v>
      </c>
      <c r="Z147" s="253">
        <f>IF(AND($L$115&lt;=500,$L$117&gt;50),1.41,V148)</f>
        <v>0</v>
      </c>
      <c r="AA147" s="341"/>
    </row>
    <row r="148" spans="1:33" ht="24" customHeight="1" thickBot="1">
      <c r="A148" s="579"/>
      <c r="B148" s="1025" t="s">
        <v>526</v>
      </c>
      <c r="C148" s="1026"/>
      <c r="D148" s="1027"/>
      <c r="E148" s="1154">
        <f>22000*S180</f>
        <v>58000</v>
      </c>
      <c r="F148" s="1155"/>
      <c r="G148" s="587"/>
      <c r="H148" s="1160"/>
      <c r="I148" s="1160"/>
      <c r="J148" s="1160"/>
      <c r="K148" s="1160"/>
      <c r="L148" s="647"/>
      <c r="M148" s="578"/>
      <c r="N148" s="608"/>
      <c r="O148" s="887"/>
      <c r="P148" s="551"/>
      <c r="R148" s="1170" t="e">
        <f>IF(AND(J142&lt;=R146),R147,IF(AND(J142&gt;R147,J142&lt;=S146),S147,IF(AND(J142&gt;S146),J142*0.025,0)))</f>
        <v>#VALUE!</v>
      </c>
      <c r="S148" s="1171"/>
      <c r="U148" s="561" t="s">
        <v>90</v>
      </c>
      <c r="V148" s="253">
        <f>IF(AND($L$115&gt;500,$L$117&lt;=5),1,W148)</f>
        <v>0</v>
      </c>
      <c r="W148" s="253">
        <f>IF(AND($L$115&gt;500,$L$117&lt;=11),1.14,X148)</f>
        <v>0</v>
      </c>
      <c r="X148" s="253">
        <f>IF(AND($L$115&gt;500,$L$117&lt;=20),1.22,Y148)</f>
        <v>0</v>
      </c>
      <c r="Y148" s="253">
        <f>IF(AND($L$115&gt;500,$L$117&lt;=50),1.27,Z148)</f>
        <v>0</v>
      </c>
      <c r="Z148" s="253">
        <f>IF(AND($L$115&gt;500,$L$117&gt;50),1.3,U140)</f>
        <v>0</v>
      </c>
      <c r="AA148" s="341"/>
    </row>
    <row r="149" spans="1:33" ht="24" customHeight="1" thickBot="1">
      <c r="A149" s="579"/>
      <c r="B149" s="972"/>
      <c r="C149" s="972"/>
      <c r="D149" s="972"/>
      <c r="E149" s="972"/>
      <c r="F149" s="972"/>
      <c r="G149" s="587"/>
      <c r="H149" s="587"/>
      <c r="I149" s="587"/>
      <c r="J149" s="587"/>
      <c r="K149" s="587"/>
      <c r="L149" s="587"/>
      <c r="M149" s="578"/>
      <c r="N149" s="608"/>
      <c r="O149" s="887"/>
      <c r="P149" s="551"/>
      <c r="U149" s="562"/>
      <c r="V149" s="342"/>
      <c r="W149" s="342"/>
      <c r="X149" s="342"/>
      <c r="Y149" s="342"/>
      <c r="Z149" s="342"/>
      <c r="AA149" s="343"/>
    </row>
    <row r="150" spans="1:33" ht="27.75" thickBot="1">
      <c r="A150" s="579"/>
      <c r="B150" s="969" t="s">
        <v>530</v>
      </c>
      <c r="C150" s="970"/>
      <c r="D150" s="971"/>
      <c r="E150" s="1023">
        <v>2.9</v>
      </c>
      <c r="F150" s="1024"/>
      <c r="G150" s="587"/>
      <c r="H150" s="973"/>
      <c r="I150" s="973"/>
      <c r="J150" s="973"/>
      <c r="K150" s="587"/>
      <c r="L150" s="587"/>
      <c r="M150" s="578"/>
      <c r="N150" s="608"/>
      <c r="O150" s="887"/>
      <c r="P150" s="551"/>
    </row>
    <row r="151" spans="1:33" ht="15.75" customHeight="1" thickBot="1">
      <c r="A151" s="579"/>
      <c r="B151" s="972"/>
      <c r="C151" s="972"/>
      <c r="D151" s="972"/>
      <c r="E151" s="972"/>
      <c r="F151" s="972"/>
      <c r="G151" s="587"/>
      <c r="H151" s="587"/>
      <c r="I151" s="587"/>
      <c r="J151" s="587"/>
      <c r="K151" s="587"/>
      <c r="L151" s="587"/>
      <c r="M151" s="578"/>
      <c r="N151" s="608"/>
      <c r="O151" s="887"/>
      <c r="P151" s="551"/>
    </row>
    <row r="152" spans="1:33" ht="15.75" customHeight="1" thickBot="1">
      <c r="A152" s="579"/>
      <c r="B152" s="1019" t="s">
        <v>180</v>
      </c>
      <c r="C152" s="970"/>
      <c r="D152" s="971"/>
      <c r="E152" s="1021" t="e">
        <f>ROUNDUP(R148,0)</f>
        <v>#VALUE!</v>
      </c>
      <c r="F152" s="1022"/>
      <c r="G152" s="587"/>
      <c r="H152" s="587"/>
      <c r="I152" s="587"/>
      <c r="J152" s="587"/>
      <c r="K152" s="587"/>
      <c r="L152" s="587"/>
      <c r="M152" s="578"/>
      <c r="N152" s="608"/>
      <c r="O152" s="887"/>
      <c r="P152" s="551"/>
    </row>
    <row r="153" spans="1:33">
      <c r="A153" s="579"/>
      <c r="B153" s="579"/>
      <c r="C153" s="579"/>
      <c r="D153" s="579"/>
      <c r="E153" s="579"/>
      <c r="F153" s="579"/>
      <c r="G153" s="579"/>
      <c r="H153" s="579"/>
      <c r="I153" s="579"/>
      <c r="J153" s="579"/>
      <c r="K153" s="579"/>
      <c r="L153" s="579"/>
      <c r="M153" s="578"/>
      <c r="N153" s="577"/>
      <c r="P153" s="913"/>
    </row>
    <row r="154" spans="1:33" ht="18.75" hidden="1" customHeight="1" thickBot="1">
      <c r="G154" s="3"/>
      <c r="H154" s="576"/>
      <c r="I154" s="576"/>
      <c r="J154" s="576"/>
      <c r="K154" s="576"/>
      <c r="L154" s="576"/>
      <c r="P154" s="551"/>
    </row>
    <row r="155" spans="1:33" ht="18.75" hidden="1" customHeight="1" thickBot="1">
      <c r="B155" s="52"/>
      <c r="D155" s="1"/>
      <c r="E155" s="1"/>
      <c r="F155" s="237"/>
      <c r="G155" s="3"/>
      <c r="H155" s="576"/>
      <c r="I155" s="576"/>
      <c r="J155" s="576"/>
      <c r="K155" s="576"/>
      <c r="L155" s="576"/>
      <c r="P155" s="551"/>
      <c r="R155" s="963" t="str">
        <f>IF(F112&gt;0," -CAIE ER (Energias Renovables) "," ")</f>
        <v xml:space="preserve"> </v>
      </c>
      <c r="S155" s="964"/>
      <c r="T155" s="964"/>
      <c r="U155" s="964"/>
      <c r="V155" s="964"/>
      <c r="W155" s="965"/>
    </row>
    <row r="156" spans="1:33" ht="18.75" hidden="1" customHeight="1" thickBot="1">
      <c r="A156" s="880" t="s">
        <v>39</v>
      </c>
      <c r="B156" s="66"/>
      <c r="C156" s="102"/>
      <c r="D156" s="102"/>
      <c r="E156" s="979" t="s">
        <v>188</v>
      </c>
      <c r="F156" s="980"/>
      <c r="G156" s="880"/>
      <c r="L156" s="880"/>
      <c r="M156" s="880"/>
      <c r="P156" s="551"/>
      <c r="R156" s="963" t="str">
        <f>IF(F79&gt;0," -PROYECTO y DIRECCION "," ")</f>
        <v xml:space="preserve"> </v>
      </c>
      <c r="S156" s="964"/>
      <c r="T156" s="964"/>
      <c r="U156" s="964"/>
      <c r="V156" s="964"/>
      <c r="W156" s="965"/>
    </row>
    <row r="157" spans="1:33" ht="15.75" hidden="1" customHeight="1" thickBot="1">
      <c r="A157" s="880"/>
      <c r="B157" s="66"/>
      <c r="C157" s="187">
        <f>IF(X259&lt;DATOS!S104,DATOS!S104,X259)</f>
        <v>14500</v>
      </c>
      <c r="D157" s="66"/>
      <c r="E157" s="899" t="s">
        <v>200</v>
      </c>
      <c r="F157" s="903">
        <f>IF(F80&lt;=0,0,IF(AND(F80&gt;0,F80&lt;=S104),S104,F80))</f>
        <v>0</v>
      </c>
      <c r="J157" s="896">
        <f>IF(F80&lt;S104,S104,0)</f>
        <v>14500</v>
      </c>
      <c r="L157" s="880"/>
      <c r="M157" s="880"/>
      <c r="P157" s="551"/>
      <c r="R157" s="963" t="str">
        <f>IF(U199&gt;0," - DIREC. Por Cont. Sep."," ")</f>
        <v xml:space="preserve"> </v>
      </c>
      <c r="S157" s="964"/>
      <c r="T157" s="964"/>
      <c r="U157" s="964"/>
      <c r="V157" s="964"/>
      <c r="W157" s="965"/>
    </row>
    <row r="158" spans="1:33" ht="21" hidden="1" customHeight="1" thickBot="1">
      <c r="A158" s="880"/>
      <c r="B158" s="57"/>
      <c r="C158" s="187">
        <f>+IF(X201&gt;0,X201,X211)</f>
        <v>0</v>
      </c>
      <c r="D158" s="66"/>
      <c r="E158" s="900" t="s">
        <v>195</v>
      </c>
      <c r="F158" s="903">
        <f>IF(L80&lt;=0,0,IF(AND(L80&gt;0,L80&lt;=S104),S104,L80))</f>
        <v>0</v>
      </c>
      <c r="J158" s="896">
        <f>IF(L80&lt;S104,S104,0)</f>
        <v>14500</v>
      </c>
      <c r="L158" s="880"/>
      <c r="M158" s="880"/>
      <c r="P158" s="551"/>
      <c r="R158" s="966" t="str">
        <f>IF(L79&gt;0," -PROYECTO "," ")</f>
        <v xml:space="preserve"> </v>
      </c>
      <c r="S158" s="967"/>
      <c r="T158" s="967"/>
      <c r="U158" s="967"/>
      <c r="V158" s="967"/>
      <c r="W158" s="968"/>
    </row>
    <row r="159" spans="1:33" ht="28.5" hidden="1" customHeight="1" thickBot="1">
      <c r="A159" s="880"/>
      <c r="B159" s="57"/>
      <c r="C159" s="187">
        <f>IF((W218+W227)&lt;R124,R124,W218)</f>
        <v>0</v>
      </c>
      <c r="D159" s="66"/>
      <c r="E159" s="900" t="s">
        <v>191</v>
      </c>
      <c r="F159" s="903">
        <f>IF(F100&lt;=0,0,IF(AND(F100&gt;0,F100&lt;=S105),S105,F100))</f>
        <v>0</v>
      </c>
      <c r="J159" s="896">
        <f>IF(F100&lt;S105,S105,0)</f>
        <v>20110</v>
      </c>
      <c r="M159" s="880"/>
      <c r="P159" s="551"/>
      <c r="R159" s="966" t="str">
        <f>IF(F99&gt;0," -MEDICION"," ")</f>
        <v xml:space="preserve"> </v>
      </c>
      <c r="S159" s="967"/>
      <c r="T159" s="967"/>
      <c r="U159" s="967"/>
      <c r="V159" s="967"/>
      <c r="W159" s="968"/>
    </row>
    <row r="160" spans="1:33" ht="18.75" hidden="1" customHeight="1" thickBot="1">
      <c r="A160" s="880"/>
      <c r="B160" s="57"/>
      <c r="C160" s="187">
        <f>IF((X218+X227)&lt;DATOS!S105,DATOS!S105,X227)</f>
        <v>20110</v>
      </c>
      <c r="D160" s="66"/>
      <c r="E160" s="900" t="s">
        <v>192</v>
      </c>
      <c r="F160" s="903">
        <f>IF(L100&lt;=0,0,IF(AND(L100&gt;0,L100&lt;=S105),S105,L100))</f>
        <v>0</v>
      </c>
      <c r="J160" s="896">
        <f>IF(L100&lt;S105,S105,0)</f>
        <v>20110</v>
      </c>
      <c r="M160" s="880"/>
      <c r="P160" s="551"/>
      <c r="R160" s="966" t="str">
        <f>IF(L99&gt;0," -INFORME TECNICO."," ")</f>
        <v xml:space="preserve"> </v>
      </c>
      <c r="S160" s="967"/>
      <c r="T160" s="967"/>
      <c r="U160" s="967"/>
      <c r="V160" s="967"/>
      <c r="W160" s="968"/>
      <c r="X160" s="1011" t="str">
        <f>CONCATENATE(R156,R157,R158,R159,R160,R161,R162,R163,R164,R165,R166,R167,R168,R169,R170,R171,R172,R173,R174,R175,R176,R155)</f>
        <v xml:space="preserve">                      </v>
      </c>
      <c r="Y160" s="1012"/>
      <c r="Z160" s="1012"/>
      <c r="AA160" s="1012"/>
      <c r="AB160" s="1012"/>
      <c r="AC160" s="1012"/>
      <c r="AD160" s="1012"/>
      <c r="AE160" s="1012"/>
      <c r="AF160" s="1012"/>
      <c r="AG160" s="1012"/>
    </row>
    <row r="161" spans="1:33" ht="19.5" hidden="1" customHeight="1" thickBot="1">
      <c r="A161" s="880"/>
      <c r="B161" s="57"/>
      <c r="C161" s="187">
        <f>+Y235+Z235</f>
        <v>0</v>
      </c>
      <c r="D161" s="66"/>
      <c r="E161" s="900" t="s">
        <v>193</v>
      </c>
      <c r="F161" s="903">
        <f>IF(F120&lt;=0,0,IF(AND(F120&gt;0,F120&lt;=S105),S105,F120))</f>
        <v>0</v>
      </c>
      <c r="J161" s="896">
        <f>IF(F120&lt;S104,S104,0)</f>
        <v>14500</v>
      </c>
      <c r="M161" s="880"/>
      <c r="N161" s="71"/>
      <c r="P161" s="551"/>
      <c r="R161" s="963" t="str">
        <f>IF((Y235+Z235)&gt;0," -INSPECCION Y ENSAYO."," ")</f>
        <v xml:space="preserve"> </v>
      </c>
      <c r="S161" s="964"/>
      <c r="T161" s="964"/>
      <c r="U161" s="964"/>
      <c r="V161" s="964"/>
      <c r="W161" s="965"/>
      <c r="X161" s="1013"/>
      <c r="Y161" s="1014"/>
      <c r="Z161" s="1014"/>
      <c r="AA161" s="1014"/>
      <c r="AB161" s="1014"/>
      <c r="AC161" s="1014"/>
      <c r="AD161" s="1014"/>
      <c r="AE161" s="1014"/>
      <c r="AF161" s="1014"/>
      <c r="AG161" s="1014"/>
    </row>
    <row r="162" spans="1:33" ht="15" hidden="1" customHeight="1" thickBot="1">
      <c r="A162" s="880"/>
      <c r="B162" s="57"/>
      <c r="C162" s="62">
        <f>Y249</f>
        <v>0</v>
      </c>
      <c r="D162" s="66"/>
      <c r="E162" s="900" t="s">
        <v>264</v>
      </c>
      <c r="F162" s="903">
        <f>IF(L111&lt;=0,0,IF(AND(L111&gt;0,L111&lt;=S106),S106,L111))</f>
        <v>0</v>
      </c>
      <c r="J162" s="896">
        <f>IF(L111&lt;S106,S106,0)</f>
        <v>23200</v>
      </c>
      <c r="M162" s="880"/>
      <c r="N162" s="71"/>
      <c r="P162" s="551"/>
      <c r="R162" s="963" t="str">
        <f>IF(L110&gt;0," -INSPECCION Y ENSAYO SRT 900/15"," ")</f>
        <v xml:space="preserve"> </v>
      </c>
      <c r="S162" s="964"/>
      <c r="T162" s="964"/>
      <c r="U162" s="964"/>
      <c r="V162" s="964"/>
      <c r="W162" s="965"/>
      <c r="X162" s="1013"/>
      <c r="Y162" s="1014"/>
      <c r="Z162" s="1014"/>
      <c r="AA162" s="1014"/>
      <c r="AB162" s="1014"/>
      <c r="AC162" s="1014"/>
      <c r="AD162" s="1014"/>
      <c r="AE162" s="1014"/>
      <c r="AF162" s="1014"/>
      <c r="AG162" s="1014"/>
    </row>
    <row r="163" spans="1:33" ht="19.5" hidden="1" customHeight="1" thickBot="1">
      <c r="A163" s="880"/>
      <c r="B163" s="57"/>
      <c r="C163" s="897">
        <f>IF((X218+X227)&lt;DATOS!S105,DATOS!S105,X218+X227+AB297+X259+X273+AB294)</f>
        <v>20110</v>
      </c>
      <c r="D163" s="66"/>
      <c r="E163" s="900" t="s">
        <v>583</v>
      </c>
      <c r="F163" s="903">
        <f>IF(L126&lt;=0,0,IF(AND(L126&gt;0,L126&lt;=S105),S105,L126))</f>
        <v>0</v>
      </c>
      <c r="J163" s="896">
        <f>IF(L126&lt;S104,S104,0)</f>
        <v>14500</v>
      </c>
      <c r="M163" s="880"/>
      <c r="N163" s="71"/>
      <c r="P163" s="551"/>
      <c r="R163" s="963" t="str">
        <f>IF(L125&gt;0," -REPRESENTACION TECNICA."," ")</f>
        <v xml:space="preserve"> </v>
      </c>
      <c r="S163" s="964"/>
      <c r="T163" s="964"/>
      <c r="U163" s="964"/>
      <c r="V163" s="964"/>
      <c r="W163" s="965"/>
      <c r="X163" s="1013"/>
      <c r="Y163" s="1014"/>
      <c r="Z163" s="1014"/>
      <c r="AA163" s="1014"/>
      <c r="AB163" s="1014"/>
      <c r="AC163" s="1014"/>
      <c r="AD163" s="1014"/>
      <c r="AE163" s="1014"/>
      <c r="AF163" s="1014"/>
      <c r="AG163" s="1014"/>
    </row>
    <row r="164" spans="1:33" ht="19.5" hidden="1" customHeight="1" thickBot="1">
      <c r="A164" s="880"/>
      <c r="B164" s="57"/>
      <c r="C164" s="187">
        <f>IF(AB294&lt;=0,0,IF(AND(AB294&gt;0,AB294&lt;DATOS!S104),DATOS!S104,AB294))</f>
        <v>0</v>
      </c>
      <c r="D164" s="898"/>
      <c r="E164" s="900" t="s">
        <v>698</v>
      </c>
      <c r="F164" s="903">
        <f>IF(L103&lt;=0,0,IF(AND(L103&gt;0,L103&lt;=S104),S104,L103))</f>
        <v>0</v>
      </c>
      <c r="J164" s="896"/>
      <c r="M164" s="880"/>
      <c r="N164" s="71"/>
      <c r="P164" s="551"/>
      <c r="R164" s="963" t="str">
        <f>IF(K135&gt;0," -HABILITACION DE ASCENSORES."," ")</f>
        <v xml:space="preserve"> </v>
      </c>
      <c r="S164" s="964"/>
      <c r="T164" s="964"/>
      <c r="U164" s="964"/>
      <c r="V164" s="964"/>
      <c r="W164" s="965"/>
    </row>
    <row r="165" spans="1:33" ht="19.5" hidden="1" customHeight="1" thickBot="1">
      <c r="A165" s="880"/>
      <c r="B165" s="57"/>
      <c r="C165" s="57"/>
      <c r="D165" s="57"/>
      <c r="E165" s="900" t="s">
        <v>699</v>
      </c>
      <c r="F165" s="903">
        <f>IF(F135&lt;=0,0,IF(AND(F135&gt;0,F135&lt;=S104),S104,F135))</f>
        <v>0</v>
      </c>
      <c r="J165" s="880"/>
      <c r="M165" s="880"/>
      <c r="N165" s="71"/>
      <c r="P165" s="551"/>
      <c r="Q165" s="681"/>
      <c r="R165" s="963" t="str">
        <f>IF(F124&gt;0," -CHARLAS DE SEG. EN OBRA INDUSTRIA Y/O DEPOSITO."," ")</f>
        <v xml:space="preserve"> </v>
      </c>
      <c r="S165" s="964"/>
      <c r="T165" s="964"/>
      <c r="U165" s="964"/>
      <c r="V165" s="964"/>
      <c r="W165" s="965"/>
    </row>
    <row r="166" spans="1:33" ht="19.5" hidden="1" customHeight="1" thickBot="1">
      <c r="A166" s="880"/>
      <c r="B166" s="880"/>
      <c r="C166" s="880"/>
      <c r="D166" s="880"/>
      <c r="E166" s="900" t="s">
        <v>700</v>
      </c>
      <c r="F166" s="903">
        <f>IF(K135&lt;=0,0,IF(AND(K135&gt;0,K135&lt;=S115),S115,K135))</f>
        <v>0</v>
      </c>
      <c r="G166" s="880"/>
      <c r="L166" s="880"/>
      <c r="M166" s="880"/>
      <c r="N166" s="71"/>
      <c r="P166" s="551"/>
      <c r="R166" s="963" t="str">
        <f>IF(F125&gt;0," -INSPECCION OCULAR PARA ALGUNA ART (MAX 1 HORA)."," ")</f>
        <v xml:space="preserve"> </v>
      </c>
      <c r="S166" s="964"/>
      <c r="T166" s="964"/>
      <c r="U166" s="964"/>
      <c r="V166" s="964"/>
      <c r="W166" s="965"/>
    </row>
    <row r="167" spans="1:33" ht="37.5" hidden="1" customHeight="1" thickBot="1">
      <c r="A167" s="880"/>
      <c r="B167" s="880"/>
      <c r="C167" s="880"/>
      <c r="E167" s="901" t="s">
        <v>697</v>
      </c>
      <c r="F167" s="919">
        <f>MAX(F157:F166)</f>
        <v>0</v>
      </c>
      <c r="G167" s="880"/>
      <c r="L167" s="880"/>
      <c r="M167" s="880"/>
      <c r="N167" s="71"/>
      <c r="P167" s="551"/>
      <c r="R167" s="963" t="str">
        <f>IF(F126&gt;0," -PLAN DE EVACUACION."," ")</f>
        <v xml:space="preserve"> </v>
      </c>
      <c r="S167" s="964"/>
      <c r="T167" s="964"/>
      <c r="U167" s="964"/>
      <c r="V167" s="964"/>
      <c r="W167" s="965"/>
    </row>
    <row r="168" spans="1:33" ht="19.5" hidden="1" customHeight="1" thickBot="1">
      <c r="A168" s="880"/>
      <c r="B168" s="880"/>
      <c r="C168" s="880"/>
      <c r="D168" s="880"/>
      <c r="E168" s="880"/>
      <c r="F168" s="880"/>
      <c r="G168" s="880"/>
      <c r="L168" s="880"/>
      <c r="M168" s="880"/>
      <c r="N168" s="573"/>
      <c r="O168" s="892"/>
      <c r="P168" s="551"/>
      <c r="R168" s="963" t="str">
        <f>IF(F127&gt;0," -INFORME IGNIFUGO."," ")</f>
        <v xml:space="preserve"> </v>
      </c>
      <c r="S168" s="964"/>
      <c r="T168" s="964"/>
      <c r="U168" s="964"/>
      <c r="V168" s="964"/>
      <c r="W168" s="965"/>
    </row>
    <row r="169" spans="1:33" ht="13.5" hidden="1" thickBot="1">
      <c r="A169" s="880"/>
      <c r="B169" s="880"/>
      <c r="C169" s="880"/>
      <c r="D169" s="880"/>
      <c r="F169" s="880"/>
      <c r="G169" s="880"/>
      <c r="L169" s="880"/>
      <c r="M169" s="880"/>
      <c r="N169" s="71"/>
      <c r="P169" s="551"/>
      <c r="R169" s="963" t="str">
        <f>IF(F128&gt;0," -INFORME DE ILUMINACION."," ")</f>
        <v xml:space="preserve"> </v>
      </c>
      <c r="S169" s="964"/>
      <c r="T169" s="964"/>
      <c r="U169" s="964"/>
      <c r="V169" s="964"/>
      <c r="W169" s="965"/>
    </row>
    <row r="170" spans="1:33" ht="13.5" hidden="1" thickBot="1">
      <c r="A170" s="880"/>
      <c r="B170" s="880"/>
      <c r="C170" s="880"/>
      <c r="D170" s="880"/>
      <c r="E170" s="880"/>
      <c r="F170" s="880"/>
      <c r="G170" s="880"/>
      <c r="L170" s="880"/>
      <c r="M170" s="880"/>
      <c r="N170" s="71"/>
      <c r="P170" s="551"/>
      <c r="R170" s="963" t="str">
        <f>IF(F129&gt;0," -INFORMES DE RUIDOS."," ")</f>
        <v xml:space="preserve"> </v>
      </c>
      <c r="S170" s="964"/>
      <c r="T170" s="964"/>
      <c r="U170" s="964"/>
      <c r="V170" s="964"/>
      <c r="W170" s="965"/>
    </row>
    <row r="171" spans="1:33" ht="13.5" hidden="1" thickBot="1">
      <c r="A171" s="880"/>
      <c r="B171" s="880"/>
      <c r="C171" s="880"/>
      <c r="E171" s="880"/>
      <c r="F171" s="880"/>
      <c r="G171" s="880"/>
      <c r="L171" s="880"/>
      <c r="M171" s="880"/>
      <c r="N171" s="71"/>
      <c r="P171" s="551"/>
      <c r="R171" s="963" t="str">
        <f>IF(F130&gt;0," -INFORME DE CARGA TERMICA."," ")</f>
        <v xml:space="preserve"> </v>
      </c>
      <c r="S171" s="964"/>
      <c r="T171" s="964"/>
      <c r="U171" s="964"/>
      <c r="V171" s="964"/>
      <c r="W171" s="965"/>
    </row>
    <row r="172" spans="1:33" ht="13.5" hidden="1" thickBot="1">
      <c r="A172" s="880"/>
      <c r="E172" s="880"/>
      <c r="F172" s="880"/>
      <c r="M172" s="880"/>
      <c r="N172" s="71"/>
      <c r="P172" s="551"/>
      <c r="R172" s="963" t="str">
        <f>IF(F131&gt;0," -LEGAJO TECNICO INDUSTRIAS CAT. 1."," ")</f>
        <v xml:space="preserve"> </v>
      </c>
      <c r="S172" s="964"/>
      <c r="T172" s="964"/>
      <c r="U172" s="964"/>
      <c r="V172" s="964"/>
      <c r="W172" s="965"/>
    </row>
    <row r="173" spans="1:33" ht="13.5" hidden="1" thickBot="1">
      <c r="A173" s="880"/>
      <c r="F173" s="880"/>
      <c r="M173" s="880"/>
      <c r="N173" s="71"/>
      <c r="P173" s="551"/>
      <c r="R173" s="963" t="str">
        <f>IF(F132&gt;0," -DECLARACION JURADA RESIDUOS ESPECIALES CAT. 1 y 2."," ")</f>
        <v xml:space="preserve"> </v>
      </c>
      <c r="S173" s="964"/>
      <c r="T173" s="964"/>
      <c r="U173" s="964"/>
      <c r="V173" s="964"/>
      <c r="W173" s="965"/>
    </row>
    <row r="174" spans="1:33" ht="13.5" hidden="1" thickBot="1">
      <c r="A174" s="880"/>
      <c r="M174" s="880"/>
      <c r="N174" s="71"/>
      <c r="P174" s="551"/>
      <c r="R174" s="966" t="str">
        <f>IF(B133="si"," -INFORME TECNICO DE CARGA DE FUEGO."," ")</f>
        <v xml:space="preserve"> </v>
      </c>
      <c r="S174" s="967"/>
      <c r="T174" s="967"/>
      <c r="U174" s="967"/>
      <c r="V174" s="967"/>
      <c r="W174" s="968"/>
    </row>
    <row r="175" spans="1:33" ht="13.5" hidden="1" thickBot="1">
      <c r="A175" s="880"/>
      <c r="M175" s="880"/>
      <c r="N175" s="71"/>
      <c r="P175" s="551"/>
      <c r="R175" s="966" t="str">
        <f>IF(B134="si","  -PLANO LUCHA CONTRA EL FUEGO / VIAS DE ESCAPE."," ")</f>
        <v xml:space="preserve"> </v>
      </c>
      <c r="S175" s="967"/>
      <c r="T175" s="967"/>
      <c r="U175" s="967"/>
      <c r="V175" s="967"/>
      <c r="W175" s="968"/>
    </row>
    <row r="176" spans="1:33" hidden="1">
      <c r="A176" s="880"/>
      <c r="I176" s="4" t="s">
        <v>197</v>
      </c>
      <c r="M176" s="880"/>
      <c r="N176" s="71"/>
      <c r="P176" s="551"/>
      <c r="R176" s="963" t="str">
        <f>IF(L103&gt;0,I103," ")</f>
        <v xml:space="preserve"> </v>
      </c>
      <c r="S176" s="964"/>
      <c r="T176" s="964"/>
      <c r="U176" s="964"/>
      <c r="V176" s="964"/>
      <c r="W176" s="965"/>
    </row>
    <row r="177" spans="1:90" ht="15.75" hidden="1" customHeight="1">
      <c r="A177" s="880"/>
      <c r="I177" s="4" t="s">
        <v>198</v>
      </c>
      <c r="K177" s="4">
        <v>11150</v>
      </c>
      <c r="L177" s="4" t="s">
        <v>696</v>
      </c>
      <c r="M177" s="880"/>
      <c r="N177" s="71"/>
      <c r="P177" s="914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3"/>
      <c r="AG177" s="682"/>
      <c r="AH177" s="682"/>
      <c r="AI177" s="682"/>
      <c r="AJ177" s="682"/>
      <c r="AK177" s="682"/>
      <c r="AL177" s="682"/>
      <c r="AM177" s="682"/>
      <c r="AN177" s="682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737"/>
      <c r="BG177" s="737"/>
      <c r="BH177" s="737"/>
      <c r="BI177" s="737"/>
      <c r="BJ177" s="737"/>
      <c r="BK177" s="737"/>
      <c r="BL177" s="737"/>
      <c r="BM177" s="737"/>
      <c r="BN177" s="737"/>
      <c r="BO177" s="737"/>
      <c r="BP177" s="737"/>
      <c r="BQ177" s="737"/>
      <c r="BR177" s="737"/>
      <c r="BS177" s="737"/>
      <c r="BT177" s="737"/>
      <c r="BU177" s="737"/>
      <c r="BV177" s="71"/>
      <c r="BW177" s="71"/>
      <c r="BX177" s="71"/>
      <c r="BY177" s="71"/>
      <c r="BZ177" s="71"/>
      <c r="CA177" s="71"/>
      <c r="CB177" s="71"/>
      <c r="CK177" s="71"/>
      <c r="CL177" s="71"/>
    </row>
    <row r="178" spans="1:90" ht="12.75" hidden="1" customHeight="1">
      <c r="A178" s="880"/>
      <c r="B178" s="4">
        <f>IF(V215&lt;=0,0,IF(AND(V215&gt;0,V215&lt;=AJ214),V215,IF(AND(V215&gt;AJ214,V215&lt;=AJ216),AJ214,IF(AND(V215&gt;AJ216,V215&lt;=AK216),AJ216,IF(AND(V215&gt;AK216,V215&lt;=AK217),AK216,IF(V215&gt;AK216,AK217))))))</f>
        <v>0</v>
      </c>
      <c r="I178" s="4" t="s">
        <v>199</v>
      </c>
      <c r="K178" s="4">
        <v>15464</v>
      </c>
      <c r="M178" s="880"/>
      <c r="N178" s="71"/>
      <c r="P178" s="914"/>
      <c r="Q178" s="682"/>
      <c r="R178" s="682"/>
      <c r="S178" s="682"/>
      <c r="T178" s="682"/>
      <c r="U178" s="682"/>
      <c r="V178" s="682"/>
      <c r="W178" s="682"/>
      <c r="X178" s="682"/>
      <c r="Y178" s="682"/>
      <c r="Z178" s="682"/>
      <c r="AA178" s="682"/>
      <c r="AB178" s="682"/>
      <c r="AC178" s="682"/>
      <c r="AD178" s="682"/>
      <c r="AE178" s="682"/>
      <c r="AF178" s="683"/>
      <c r="AG178" s="682"/>
      <c r="AH178" s="682"/>
      <c r="AI178" s="682"/>
      <c r="AJ178" s="682"/>
      <c r="AK178" s="682"/>
      <c r="AL178" s="682"/>
      <c r="AM178" s="682"/>
      <c r="AN178" s="682"/>
      <c r="AO178" s="682"/>
      <c r="AP178" s="682"/>
      <c r="AQ178" s="682"/>
      <c r="AR178" s="682"/>
      <c r="AS178" s="682"/>
      <c r="AT178" s="682"/>
      <c r="AU178" s="682"/>
      <c r="AV178" s="682"/>
      <c r="AW178" s="682"/>
      <c r="AX178" s="682"/>
      <c r="AY178" s="682"/>
      <c r="AZ178" s="682"/>
      <c r="BA178" s="682"/>
      <c r="BB178" s="682"/>
      <c r="BC178" s="682"/>
      <c r="BD178" s="682"/>
      <c r="BE178" s="682"/>
      <c r="BF178" s="737"/>
      <c r="BG178" s="737"/>
      <c r="BH178" s="737"/>
      <c r="BI178" s="737"/>
      <c r="BJ178" s="737"/>
      <c r="BK178" s="737"/>
      <c r="BL178" s="737"/>
      <c r="BM178" s="737"/>
      <c r="BN178" s="737"/>
      <c r="BO178" s="737"/>
      <c r="BP178" s="737"/>
      <c r="BQ178" s="737"/>
      <c r="BR178" s="737"/>
      <c r="BS178" s="737"/>
      <c r="BT178" s="737"/>
      <c r="BU178" s="737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</row>
    <row r="179" spans="1:90" s="71" customFormat="1" ht="12.75" hidden="1" customHeight="1">
      <c r="A179" s="880"/>
      <c r="B179" s="4"/>
      <c r="C179" s="4"/>
      <c r="D179" s="4"/>
      <c r="E179" s="4"/>
      <c r="F179" s="4"/>
      <c r="G179" s="204"/>
      <c r="H179" s="4"/>
      <c r="I179" s="4" t="s">
        <v>685</v>
      </c>
      <c r="J179" s="4"/>
      <c r="K179" s="4">
        <v>17820</v>
      </c>
      <c r="L179" s="4"/>
      <c r="M179" s="880"/>
      <c r="O179" s="891"/>
      <c r="P179" s="551"/>
      <c r="Q179" s="673" t="s">
        <v>571</v>
      </c>
      <c r="R179" s="684" t="s">
        <v>572</v>
      </c>
      <c r="S179" s="685" t="s">
        <v>573</v>
      </c>
      <c r="T179" s="52"/>
      <c r="U179" s="4"/>
      <c r="V179" s="672"/>
      <c r="W179" s="672"/>
      <c r="X179" s="671"/>
      <c r="Y179" s="671"/>
      <c r="Z179" s="52"/>
      <c r="AA179" s="52"/>
      <c r="AB179" s="4"/>
      <c r="AC179" s="4"/>
      <c r="AD179" s="4"/>
      <c r="AE179" s="4"/>
      <c r="AF179" s="50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CA179" s="4"/>
      <c r="CB179" s="4"/>
      <c r="CK179" s="4"/>
      <c r="CL179" s="4"/>
    </row>
    <row r="180" spans="1:90" s="71" customFormat="1" ht="18" hidden="1" customHeight="1">
      <c r="A180" s="880"/>
      <c r="B180" s="4"/>
      <c r="C180" s="4"/>
      <c r="D180" s="4"/>
      <c r="E180" s="4"/>
      <c r="F180" s="4"/>
      <c r="G180" s="204"/>
      <c r="H180" s="4"/>
      <c r="I180" s="4" t="s">
        <v>589</v>
      </c>
      <c r="J180" s="4"/>
      <c r="K180" s="4">
        <v>26628.75</v>
      </c>
      <c r="L180" s="4"/>
      <c r="M180" s="880"/>
      <c r="O180" s="891"/>
      <c r="P180" s="551"/>
      <c r="Q180" s="686">
        <v>22000</v>
      </c>
      <c r="R180" s="748">
        <v>1.1000000000000001</v>
      </c>
      <c r="S180" s="747">
        <f>1/$R$180*$E$150</f>
        <v>2.6363636363636362</v>
      </c>
      <c r="T180" s="51"/>
      <c r="U180" s="52"/>
      <c r="V180" s="52"/>
      <c r="W180" s="52"/>
      <c r="X180" s="52"/>
      <c r="Y180" s="52"/>
      <c r="Z180" s="52"/>
      <c r="AA180" s="52"/>
      <c r="AB180" s="4"/>
      <c r="AC180" s="4"/>
      <c r="AD180" s="4"/>
      <c r="AE180" s="4"/>
      <c r="AF180" s="50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:90" hidden="1">
      <c r="A181" s="880"/>
      <c r="I181" s="4" t="s">
        <v>589</v>
      </c>
      <c r="K181" s="4">
        <v>24502.5</v>
      </c>
      <c r="M181" s="880"/>
      <c r="N181" s="71"/>
      <c r="P181" s="551"/>
      <c r="S181" s="747"/>
    </row>
    <row r="182" spans="1:90" hidden="1">
      <c r="A182" s="880"/>
      <c r="I182" s="4" t="s">
        <v>154</v>
      </c>
      <c r="K182" s="4">
        <v>2230</v>
      </c>
      <c r="M182" s="880"/>
      <c r="N182" s="71"/>
      <c r="P182" s="551"/>
    </row>
    <row r="183" spans="1:90" hidden="1">
      <c r="A183" s="880"/>
      <c r="B183" s="71"/>
      <c r="C183" s="71"/>
      <c r="D183" s="71"/>
      <c r="G183" s="71"/>
      <c r="H183" s="71"/>
      <c r="I183" s="4" t="s">
        <v>153</v>
      </c>
      <c r="K183" s="4">
        <v>12265</v>
      </c>
      <c r="M183" s="880"/>
      <c r="N183" s="71"/>
      <c r="P183" s="551"/>
      <c r="Q183" s="8"/>
      <c r="R183" s="9" t="s">
        <v>93</v>
      </c>
      <c r="S183" s="8"/>
      <c r="T183" s="8"/>
      <c r="U183" s="8"/>
      <c r="V183" s="8"/>
      <c r="W183" s="8"/>
      <c r="X183" s="15"/>
      <c r="Y183" s="129"/>
      <c r="Z183" s="144"/>
      <c r="AA183" s="144"/>
      <c r="AB183" s="144"/>
      <c r="AC183" s="144"/>
      <c r="AD183" s="144"/>
      <c r="AE183" s="129"/>
      <c r="AF183" s="129"/>
      <c r="AG183" s="129"/>
      <c r="AH183" s="129"/>
      <c r="AI183" s="129"/>
      <c r="AJ183" s="130"/>
      <c r="AK183" s="130"/>
      <c r="AL183" s="130"/>
      <c r="AM183" s="129"/>
      <c r="AN183" s="129"/>
      <c r="AO183" s="130"/>
      <c r="AP183" s="130"/>
      <c r="AQ183" s="130"/>
      <c r="AR183" s="8"/>
      <c r="AS183" s="8"/>
    </row>
    <row r="184" spans="1:90" ht="15.75" hidden="1">
      <c r="A184" s="880"/>
      <c r="B184" s="71"/>
      <c r="C184" s="71"/>
      <c r="D184" s="71"/>
      <c r="G184" s="71"/>
      <c r="H184" s="71"/>
      <c r="I184" s="880" t="s">
        <v>117</v>
      </c>
      <c r="J184" s="880"/>
      <c r="K184" s="880">
        <v>3564</v>
      </c>
      <c r="L184" s="880"/>
      <c r="M184" s="880"/>
      <c r="N184" s="71"/>
      <c r="P184" s="551"/>
      <c r="Q184" s="8"/>
      <c r="R184" s="9"/>
      <c r="S184" s="8"/>
      <c r="T184" s="8"/>
      <c r="U184" s="8"/>
      <c r="V184" s="8"/>
      <c r="W184" s="8"/>
      <c r="X184" s="59"/>
      <c r="Y184" s="57"/>
      <c r="Z184" s="57"/>
      <c r="AA184" s="143" t="str">
        <f>$J$146</f>
        <v>ERROR</v>
      </c>
      <c r="AB184" s="141">
        <f>DATOS!L146</f>
        <v>0</v>
      </c>
      <c r="AC184" s="113"/>
      <c r="AD184" s="113"/>
      <c r="AE184" s="69"/>
      <c r="AF184" s="8"/>
      <c r="AG184" s="8"/>
      <c r="AH184" s="8"/>
      <c r="AI184" s="8"/>
      <c r="AJ184" s="15"/>
      <c r="AK184" s="15"/>
      <c r="AL184" s="83"/>
      <c r="AM184" s="8"/>
      <c r="AN184" s="8"/>
      <c r="AO184" s="15"/>
      <c r="AP184" s="15"/>
      <c r="AQ184" s="15"/>
      <c r="AR184" s="8"/>
      <c r="AS184" s="8"/>
    </row>
    <row r="185" spans="1:90" hidden="1">
      <c r="A185" s="880"/>
      <c r="E185" s="71"/>
      <c r="F185" s="71"/>
      <c r="I185" s="880" t="s">
        <v>70</v>
      </c>
      <c r="J185" s="880"/>
      <c r="K185" s="880">
        <v>16038</v>
      </c>
      <c r="L185" s="880"/>
      <c r="M185" s="880"/>
      <c r="N185" s="71"/>
      <c r="P185" s="908"/>
      <c r="Q185" s="57"/>
      <c r="R185" s="8"/>
      <c r="S185" s="8"/>
      <c r="T185" s="8"/>
      <c r="U185" s="8"/>
      <c r="V185" s="13"/>
      <c r="X185" s="145"/>
      <c r="Y185" s="61"/>
      <c r="Z185" s="57"/>
      <c r="AA185" s="8"/>
      <c r="AB185" s="8"/>
      <c r="AC185" s="8"/>
      <c r="AD185" s="8"/>
      <c r="AE185" s="59"/>
      <c r="AF185" s="8"/>
      <c r="AG185" s="8"/>
      <c r="AH185" s="8"/>
      <c r="AI185" s="8"/>
      <c r="AJ185" s="15"/>
      <c r="AK185" s="15"/>
      <c r="AL185" s="83"/>
      <c r="AM185" s="8"/>
      <c r="AN185" s="8"/>
      <c r="AO185" s="15"/>
      <c r="AP185" s="15"/>
      <c r="AQ185" s="15"/>
      <c r="AR185" s="8"/>
      <c r="AS185" s="8"/>
    </row>
    <row r="186" spans="1:90" hidden="1">
      <c r="A186" s="880"/>
      <c r="E186" s="71"/>
      <c r="F186" s="71"/>
      <c r="I186" s="880"/>
      <c r="J186" s="880"/>
      <c r="K186" s="880"/>
      <c r="L186" s="880"/>
      <c r="M186" s="880"/>
      <c r="N186" s="864"/>
      <c r="O186" s="893"/>
      <c r="P186" s="551"/>
      <c r="Q186" s="9" t="s">
        <v>127</v>
      </c>
      <c r="R186" s="8"/>
      <c r="S186" s="8"/>
      <c r="T186" s="8"/>
      <c r="U186" s="8"/>
      <c r="V186" s="8"/>
      <c r="W186" s="8"/>
      <c r="X186" s="59"/>
      <c r="Y186" s="57"/>
      <c r="Z186" s="57"/>
      <c r="AA186" s="136">
        <f>IF(AND(V188&gt;0,V188&lt;=AK188),6,IF(AND(V188&gt;AK188,V188&lt;=AK189),5.5,IF(AND(V188&gt;AJ189,V188&lt;=AK190),5,IF(AND(V188&gt;AJ190,V188&lt;=AK191),4.5,IF(AND(V188&gt;AJ191,V188&lt;=AK192),4,IF(AND(V188&gt;AK192),3.5,0))))))</f>
        <v>0</v>
      </c>
      <c r="AB186" s="135">
        <f>IF(AND(V188&gt;0,V188&lt;=AK188),7,IF(AND(V188&gt;AK188,V188&lt;=AK189),6.5,IF(AND(V188&gt;AJ189,V188&lt;=AK190),6,IF(AND(V188&gt;AJ190,V188&lt;=AK191),5.5,IF(AND(V188&gt;AJ191,V188&lt;=AK192),5,IF(AND(V188&gt;AK192),4.5,0))))))</f>
        <v>0</v>
      </c>
      <c r="AC186" s="8"/>
      <c r="AD186" s="8"/>
      <c r="AE186" s="63"/>
      <c r="AF186" s="8"/>
      <c r="AG186" s="8"/>
      <c r="AH186" s="8"/>
      <c r="AI186" s="8"/>
      <c r="AJ186" s="15" t="s">
        <v>176</v>
      </c>
      <c r="AK186" s="15" t="s">
        <v>177</v>
      </c>
      <c r="AL186" s="83" t="s">
        <v>177</v>
      </c>
      <c r="AM186" s="15" t="s">
        <v>177</v>
      </c>
      <c r="AN186" s="8"/>
      <c r="AO186" s="15"/>
      <c r="AP186" s="130"/>
      <c r="AQ186" s="15"/>
      <c r="AR186" s="8"/>
      <c r="AS186" s="8"/>
    </row>
    <row r="187" spans="1:90" hidden="1">
      <c r="A187" s="880"/>
      <c r="B187" s="880"/>
      <c r="C187" s="880"/>
      <c r="D187" s="880"/>
      <c r="G187" s="880"/>
      <c r="H187" s="880"/>
      <c r="I187" s="880" t="s">
        <v>161</v>
      </c>
      <c r="J187" s="880"/>
      <c r="K187" s="880"/>
      <c r="L187" s="880"/>
      <c r="M187" s="880"/>
      <c r="N187" s="71"/>
      <c r="P187" s="551"/>
      <c r="Q187" s="8" t="s">
        <v>94</v>
      </c>
      <c r="R187" s="8"/>
      <c r="S187" s="8"/>
      <c r="T187" s="8"/>
      <c r="U187" s="8"/>
      <c r="V187" s="8"/>
      <c r="W187" s="8"/>
      <c r="X187" s="15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5"/>
      <c r="AK187" s="15"/>
      <c r="AL187" s="133">
        <v>0.06</v>
      </c>
      <c r="AM187" s="105">
        <v>7.0000000000000007E-2</v>
      </c>
      <c r="AN187" s="8"/>
      <c r="AO187" s="15"/>
      <c r="AP187" s="189"/>
      <c r="AQ187" s="133"/>
      <c r="AR187" s="8"/>
      <c r="AS187" s="8"/>
    </row>
    <row r="188" spans="1:90" hidden="1">
      <c r="A188" s="880"/>
      <c r="B188" s="880"/>
      <c r="C188" s="880"/>
      <c r="D188" s="880"/>
      <c r="G188" s="880"/>
      <c r="H188" s="880"/>
      <c r="I188" s="880" t="s">
        <v>156</v>
      </c>
      <c r="J188" s="880"/>
      <c r="K188" s="880">
        <v>27875</v>
      </c>
      <c r="L188" s="880"/>
      <c r="M188" s="880"/>
      <c r="N188" s="71"/>
      <c r="P188" s="551"/>
      <c r="Q188" s="8" t="s">
        <v>95</v>
      </c>
      <c r="R188" s="8"/>
      <c r="S188" s="8"/>
      <c r="T188" s="8"/>
      <c r="U188" s="15"/>
      <c r="V188" s="24">
        <f>DATOS!$F$79</f>
        <v>0</v>
      </c>
      <c r="W188" s="15" t="s">
        <v>39</v>
      </c>
      <c r="X188" s="15"/>
      <c r="Y188" s="8"/>
      <c r="Z188" s="8"/>
      <c r="AA188" s="8"/>
      <c r="AB188" s="8"/>
      <c r="AC188" s="8"/>
      <c r="AD188" s="8"/>
      <c r="AE188" s="77">
        <f>+IF(V206&gt;0,V206,V188)</f>
        <v>0</v>
      </c>
      <c r="AF188" s="15" t="s">
        <v>35</v>
      </c>
      <c r="AG188" s="158"/>
      <c r="AH188" s="159" t="s">
        <v>167</v>
      </c>
      <c r="AI188" s="159"/>
      <c r="AJ188" s="208">
        <f>1100000*$S$180</f>
        <v>2900000</v>
      </c>
      <c r="AK188" s="15">
        <f>AJ188</f>
        <v>2900000</v>
      </c>
      <c r="AL188" s="15">
        <f>AJ188*0.06</f>
        <v>174000</v>
      </c>
      <c r="AM188" s="15">
        <f>AJ188*0.07</f>
        <v>203000.00000000003</v>
      </c>
      <c r="AN188" s="14"/>
      <c r="AO188" s="15"/>
      <c r="AP188" s="130"/>
      <c r="AQ188" s="83"/>
      <c r="AR188" s="8"/>
      <c r="AS188" s="8"/>
    </row>
    <row r="189" spans="1:90" hidden="1">
      <c r="A189" s="880"/>
      <c r="B189" s="880"/>
      <c r="C189" s="880"/>
      <c r="D189" s="880"/>
      <c r="E189" s="880"/>
      <c r="F189" s="880"/>
      <c r="G189" s="880"/>
      <c r="I189" s="880" t="s">
        <v>157</v>
      </c>
      <c r="J189" s="880"/>
      <c r="K189" s="880">
        <v>55750</v>
      </c>
      <c r="L189" s="880"/>
      <c r="M189" s="880"/>
      <c r="N189" s="71"/>
      <c r="P189" s="551"/>
      <c r="Q189" s="8" t="s">
        <v>36</v>
      </c>
      <c r="R189" s="8"/>
      <c r="S189" s="8"/>
      <c r="T189" s="14"/>
      <c r="U189" s="23"/>
      <c r="V189" s="33">
        <f>IF(V188&lt;=0,0,IF(AND(V188&gt;0,V188&lt;=AJ188),V188,IF(AND(V188&gt;AJ188,V188&lt;=AJ190),AJ188,IF(AND(V188&gt;AJ190,V188&lt;=AK190),AJ190,IF(AND(V188&gt;AK190,V188&lt;=AK191),AK190,IF(AND(V188&gt;AK191,V188&lt;=AK192),AK191,IF(V188&gt;AJ192,AK192)))))))</f>
        <v>0</v>
      </c>
      <c r="W189" s="15" t="s">
        <v>96</v>
      </c>
      <c r="X189" s="76">
        <f>IF(AB184="5ª",AB189,AA189)</f>
        <v>0</v>
      </c>
      <c r="Y189" s="8"/>
      <c r="Z189" s="18"/>
      <c r="AA189" s="24">
        <f>IF(AND(V188&gt;0,V188&lt;=AK188),V188*0.06,IF(AND(V188&gt;AK188,V188&lt;=AK189),AL188,IF(AND(V188&gt;AK189,V188&lt;=AK190),AL189,IF(AND(V188&gt;AK190,V188&lt;=AK191),AL190,IF(AND(V188&gt;AK191,V188&lt;=AK192),AL191,IF(AND(V188&gt;AK192),AL192,0))))))</f>
        <v>0</v>
      </c>
      <c r="AB189" s="24">
        <f>IF(AND(V188&gt;0,V188&lt;=AK188),V188*0.07,IF(AND(V188&gt;AK188,V188&lt;=AK189),AM188,IF(AND(V188&gt;AK189,V188&lt;=AK190),AM189,IF(AND(V188&gt;AK190,V188&lt;=AK191),AM190,IF(AND(V188&gt;AK191,V188&lt;=AK192),AM191,IF(AND(V188&gt;AK192),AM192,0))))))</f>
        <v>0</v>
      </c>
      <c r="AC189" s="8"/>
      <c r="AD189" s="8"/>
      <c r="AE189" s="33">
        <f>+IF(V206&gt;0,X207,X189)</f>
        <v>0</v>
      </c>
      <c r="AF189" s="32" t="s">
        <v>96</v>
      </c>
      <c r="AG189" s="8"/>
      <c r="AH189" s="8"/>
      <c r="AI189" s="8"/>
      <c r="AJ189" s="208">
        <f>4400000*$S$180</f>
        <v>11600000</v>
      </c>
      <c r="AK189" s="15">
        <f>AK188+AJ189</f>
        <v>14500000</v>
      </c>
      <c r="AL189" s="15">
        <f>AJ188*0.06+AJ189*0.055</f>
        <v>812000</v>
      </c>
      <c r="AM189" s="15">
        <f>AJ188*0.07+AJ189*0.065</f>
        <v>957000</v>
      </c>
      <c r="AN189" s="8"/>
      <c r="AO189" s="15"/>
      <c r="AP189" s="130"/>
      <c r="AQ189" s="83"/>
      <c r="AR189" s="8"/>
      <c r="AS189" s="8"/>
    </row>
    <row r="190" spans="1:90" hidden="1">
      <c r="A190" s="880"/>
      <c r="B190" s="880"/>
      <c r="C190" s="880"/>
      <c r="D190" s="880"/>
      <c r="E190" s="880"/>
      <c r="F190" s="880"/>
      <c r="G190" s="880"/>
      <c r="I190" s="4" t="s">
        <v>158</v>
      </c>
      <c r="K190" s="4">
        <v>78050</v>
      </c>
      <c r="M190" s="880"/>
      <c r="N190" s="71"/>
      <c r="P190" s="551"/>
      <c r="Q190" s="8" t="s">
        <v>97</v>
      </c>
      <c r="R190" s="8"/>
      <c r="S190" s="8"/>
      <c r="T190" s="14" t="s">
        <v>56</v>
      </c>
      <c r="U190" s="134">
        <f>IF(AB184="5ª",AB186,AA186)</f>
        <v>0</v>
      </c>
      <c r="V190" s="33">
        <f>IF(V188&gt;=0,V188-V189)</f>
        <v>0</v>
      </c>
      <c r="W190" s="15" t="s">
        <v>96</v>
      </c>
      <c r="X190" s="76">
        <f>IF(AB184="5ª",AB190,AA190)</f>
        <v>0</v>
      </c>
      <c r="Y190" s="8"/>
      <c r="Z190" s="8"/>
      <c r="AA190" s="24">
        <f>+(AA186/100)*V190</f>
        <v>0</v>
      </c>
      <c r="AB190" s="24">
        <f>(AB186/100)*V190</f>
        <v>0</v>
      </c>
      <c r="AC190" s="8"/>
      <c r="AD190" s="8"/>
      <c r="AE190" s="33">
        <f>+IF(V206&gt;0,X208,X190)</f>
        <v>0</v>
      </c>
      <c r="AF190" s="32" t="s">
        <v>96</v>
      </c>
      <c r="AG190" s="8"/>
      <c r="AH190" s="8"/>
      <c r="AI190" s="8"/>
      <c r="AJ190" s="208">
        <f>5500000*$S$180</f>
        <v>14500000</v>
      </c>
      <c r="AK190" s="15">
        <f>AK189+AJ190</f>
        <v>29000000</v>
      </c>
      <c r="AL190" s="15">
        <f>AJ188*0.06+AJ189*0.055+AJ190*0.05</f>
        <v>1537000</v>
      </c>
      <c r="AM190" s="15">
        <f>AJ188*0.07+AJ189*0.065+AJ190*0.06</f>
        <v>1827000</v>
      </c>
      <c r="AN190" s="8"/>
      <c r="AO190" s="15"/>
      <c r="AP190" s="130"/>
      <c r="AQ190" s="83"/>
      <c r="AR190" s="8"/>
      <c r="AS190" s="8"/>
    </row>
    <row r="191" spans="1:90" hidden="1">
      <c r="A191" s="880"/>
      <c r="B191" s="880"/>
      <c r="C191" s="880"/>
      <c r="D191" s="880"/>
      <c r="E191" s="880"/>
      <c r="F191" s="880"/>
      <c r="G191" s="880"/>
      <c r="M191" s="880"/>
      <c r="N191" s="71"/>
      <c r="P191" s="551"/>
      <c r="Q191" s="8"/>
      <c r="R191" s="8"/>
      <c r="S191" s="8"/>
      <c r="T191" s="14"/>
      <c r="U191" s="23"/>
      <c r="V191" s="24"/>
      <c r="W191" s="15"/>
      <c r="X191" s="15"/>
      <c r="Y191" s="8"/>
      <c r="Z191" s="8"/>
      <c r="AA191" s="24"/>
      <c r="AB191" s="24"/>
      <c r="AC191" s="8"/>
      <c r="AD191" s="8"/>
      <c r="AE191" s="33">
        <f>+AE189+AE190</f>
        <v>0</v>
      </c>
      <c r="AF191" s="1035" t="s">
        <v>146</v>
      </c>
      <c r="AG191" s="1035"/>
      <c r="AH191" s="8"/>
      <c r="AI191" s="8"/>
      <c r="AJ191" s="208">
        <f>22000000*$S$180</f>
        <v>58000000</v>
      </c>
      <c r="AK191" s="15">
        <f>AK190+AJ191</f>
        <v>87000000</v>
      </c>
      <c r="AL191" s="15">
        <f>AJ188*0.06+AJ189*0.055+AJ190*0.05+AJ191*0.045</f>
        <v>4147000</v>
      </c>
      <c r="AM191" s="15">
        <f>AJ188*0.07+AJ189*0.065+AJ190*0.06+AJ191*0.055</f>
        <v>5017000</v>
      </c>
      <c r="AN191" s="8"/>
      <c r="AO191" s="15"/>
      <c r="AP191" s="130"/>
      <c r="AQ191" s="83"/>
      <c r="AR191" s="8"/>
      <c r="AS191" s="8"/>
    </row>
    <row r="192" spans="1:90" ht="15" hidden="1">
      <c r="A192" s="880"/>
      <c r="B192" s="880"/>
      <c r="C192" s="880"/>
      <c r="D192" s="880"/>
      <c r="E192" s="880"/>
      <c r="F192" s="880"/>
      <c r="G192" s="880"/>
      <c r="M192" s="880"/>
      <c r="N192" s="71"/>
      <c r="P192" s="551"/>
      <c r="Q192" s="8"/>
      <c r="R192" s="8"/>
      <c r="S192" s="8"/>
      <c r="T192" s="14"/>
      <c r="U192" s="23"/>
      <c r="V192" s="13" t="s">
        <v>98</v>
      </c>
      <c r="W192" s="15" t="s">
        <v>96</v>
      </c>
      <c r="X192" s="76">
        <f>IF(AB184="5ª",AB192,AA192)</f>
        <v>0</v>
      </c>
      <c r="Y192" s="8"/>
      <c r="Z192" s="8"/>
      <c r="AA192" s="91">
        <f>+AA189+AA190</f>
        <v>0</v>
      </c>
      <c r="AB192" s="91">
        <f>+AB189+AB190</f>
        <v>0</v>
      </c>
      <c r="AC192" s="8"/>
      <c r="AD192" s="8"/>
      <c r="AE192" s="77">
        <f>+IF(V206&gt;0,V207,V189)</f>
        <v>0</v>
      </c>
      <c r="AF192" s="15" t="s">
        <v>36</v>
      </c>
      <c r="AG192" s="8"/>
      <c r="AH192" s="8"/>
      <c r="AI192" s="8"/>
      <c r="AJ192" s="208">
        <f>77000000*$S$180</f>
        <v>203000000</v>
      </c>
      <c r="AK192" s="15">
        <f>AK191+AJ192</f>
        <v>290000000</v>
      </c>
      <c r="AL192" s="15">
        <f>AJ188*0.06+AJ189*0.055+AJ190*0.05+AJ191*0.045+AJ192*0.04</f>
        <v>12267000</v>
      </c>
      <c r="AM192" s="15">
        <f>AJ188*0.07+AJ189*0.065+AJ190*0.06+AJ191*0.055+AJ192*0.05</f>
        <v>15167000</v>
      </c>
      <c r="AN192" s="8"/>
      <c r="AO192" s="15"/>
      <c r="AP192" s="190"/>
      <c r="AQ192" s="83"/>
      <c r="AR192" s="8"/>
      <c r="AS192" s="8"/>
    </row>
    <row r="193" spans="1:45" hidden="1">
      <c r="A193" s="880"/>
      <c r="B193" s="880"/>
      <c r="C193" s="880"/>
      <c r="D193" s="880"/>
      <c r="E193" s="880"/>
      <c r="F193" s="880"/>
      <c r="G193" s="880"/>
      <c r="M193" s="880"/>
      <c r="N193" s="71"/>
      <c r="P193" s="551"/>
      <c r="Q193" s="9" t="s">
        <v>128</v>
      </c>
      <c r="R193" s="8"/>
      <c r="S193" s="8"/>
      <c r="T193" s="8"/>
      <c r="U193" s="8"/>
      <c r="V193" s="8"/>
      <c r="W193" s="8"/>
      <c r="X193" s="15"/>
      <c r="Y193" s="8"/>
      <c r="Z193" s="8"/>
      <c r="AA193" s="8"/>
      <c r="AB193" s="8"/>
      <c r="AC193" s="8"/>
      <c r="AD193" s="8"/>
      <c r="AE193" s="33">
        <f>+IF(V206&gt;0,V208,V190)</f>
        <v>0</v>
      </c>
      <c r="AF193" s="32" t="s">
        <v>142</v>
      </c>
      <c r="AG193" s="8"/>
      <c r="AH193" s="8"/>
      <c r="AI193" s="8"/>
      <c r="AJ193" s="8"/>
      <c r="AK193" s="15"/>
      <c r="AL193" s="83"/>
      <c r="AM193" s="15"/>
      <c r="AN193" s="8"/>
      <c r="AO193" s="15"/>
      <c r="AP193" s="83"/>
      <c r="AQ193" s="83"/>
      <c r="AR193" s="8"/>
      <c r="AS193" s="8"/>
    </row>
    <row r="194" spans="1:45" hidden="1">
      <c r="A194" s="880"/>
      <c r="B194" s="880"/>
      <c r="C194" s="880"/>
      <c r="D194" s="880"/>
      <c r="E194" s="880"/>
      <c r="F194" s="880"/>
      <c r="G194" s="880"/>
      <c r="M194" s="880"/>
      <c r="N194" s="71"/>
      <c r="P194" s="551"/>
      <c r="Q194" s="56"/>
      <c r="R194" s="57"/>
      <c r="S194" s="57"/>
      <c r="T194" s="57"/>
      <c r="U194" s="57"/>
      <c r="V194" s="57"/>
      <c r="W194" s="57"/>
      <c r="X194" s="15"/>
      <c r="Y194" s="8"/>
      <c r="Z194" s="8"/>
      <c r="AA194" s="57"/>
      <c r="AB194" s="57"/>
      <c r="AC194" s="8"/>
      <c r="AD194" s="8"/>
      <c r="AE194" s="8"/>
      <c r="AF194" s="32"/>
      <c r="AG194" s="8"/>
      <c r="AH194" s="8"/>
      <c r="AI194" s="8"/>
      <c r="AJ194" s="8"/>
      <c r="AK194" s="15"/>
      <c r="AL194" s="83"/>
      <c r="AM194" s="8"/>
      <c r="AN194" s="8"/>
      <c r="AO194" s="15"/>
      <c r="AP194" s="83"/>
      <c r="AQ194" s="83"/>
      <c r="AR194" s="8"/>
      <c r="AS194" s="8"/>
    </row>
    <row r="195" spans="1:45" hidden="1">
      <c r="A195" s="880"/>
      <c r="B195" s="880"/>
      <c r="C195" s="880"/>
      <c r="D195" s="880"/>
      <c r="E195" s="880"/>
      <c r="F195" s="880"/>
      <c r="G195" s="880"/>
      <c r="M195" s="880"/>
      <c r="P195" s="551"/>
      <c r="Q195" s="57" t="s">
        <v>134</v>
      </c>
      <c r="R195" s="56"/>
      <c r="S195" s="58">
        <v>0.6</v>
      </c>
      <c r="T195" s="59" t="s">
        <v>105</v>
      </c>
      <c r="U195" s="134">
        <f>IF(AB184="5ª",AB192,AA192)</f>
        <v>0</v>
      </c>
      <c r="V195" s="57"/>
      <c r="W195" s="59" t="s">
        <v>96</v>
      </c>
      <c r="X195" s="164">
        <f>U195*0.6</f>
        <v>0</v>
      </c>
      <c r="Y195" s="8"/>
      <c r="Z195" s="8"/>
      <c r="AA195" s="106">
        <f>(AA192/100)*60</f>
        <v>0</v>
      </c>
      <c r="AB195" s="106">
        <f>(AB192/100)*60</f>
        <v>0</v>
      </c>
      <c r="AC195" s="8"/>
      <c r="AD195" s="8"/>
      <c r="AE195" s="77">
        <f>+IF(V206&gt;0,X211,X195)</f>
        <v>0</v>
      </c>
      <c r="AF195" s="32" t="s">
        <v>144</v>
      </c>
      <c r="AG195" s="8"/>
      <c r="AH195" s="8"/>
      <c r="AI195" s="8"/>
      <c r="AJ195" s="8"/>
      <c r="AK195" s="15"/>
      <c r="AL195" s="83"/>
      <c r="AM195" s="8"/>
      <c r="AN195" s="8"/>
      <c r="AO195" s="15"/>
      <c r="AP195" s="15"/>
      <c r="AQ195" s="83"/>
      <c r="AR195" s="8"/>
      <c r="AS195" s="8"/>
    </row>
    <row r="196" spans="1:45" hidden="1">
      <c r="A196" s="880"/>
      <c r="B196" s="880"/>
      <c r="C196" s="880"/>
      <c r="D196" s="880"/>
      <c r="E196" s="880"/>
      <c r="F196" s="880"/>
      <c r="G196" s="880"/>
      <c r="M196" s="880"/>
      <c r="P196" s="551"/>
      <c r="Q196" s="57"/>
      <c r="R196" s="57"/>
      <c r="S196" s="57"/>
      <c r="T196" s="57"/>
      <c r="U196" s="62" t="s">
        <v>39</v>
      </c>
      <c r="V196" s="61" t="s">
        <v>39</v>
      </c>
      <c r="W196" s="59" t="s">
        <v>96</v>
      </c>
      <c r="X196" s="13"/>
      <c r="Y196" s="8"/>
      <c r="Z196" s="8"/>
      <c r="AA196" s="137"/>
      <c r="AB196" s="137"/>
      <c r="AC196" s="8"/>
      <c r="AD196" s="8"/>
      <c r="AE196" s="8">
        <f>+IF(V206&gt;0,U208,U190)</f>
        <v>0</v>
      </c>
      <c r="AF196" s="25" t="s">
        <v>56</v>
      </c>
      <c r="AG196" s="8"/>
      <c r="AH196" s="8"/>
      <c r="AI196" s="8"/>
      <c r="AJ196" s="15"/>
      <c r="AK196" s="15"/>
      <c r="AL196" s="83"/>
      <c r="AM196" s="15"/>
      <c r="AN196" s="8"/>
      <c r="AO196" s="15"/>
      <c r="AP196" s="83"/>
      <c r="AQ196" s="83"/>
      <c r="AR196" s="8"/>
      <c r="AS196" s="8"/>
    </row>
    <row r="197" spans="1:45" hidden="1">
      <c r="A197" s="880"/>
      <c r="B197" s="880"/>
      <c r="C197" s="880"/>
      <c r="D197" s="880"/>
      <c r="E197" s="880"/>
      <c r="F197" s="880"/>
      <c r="G197" s="880"/>
      <c r="M197" s="880"/>
      <c r="N197" s="3"/>
      <c r="O197" s="893"/>
      <c r="P197" s="551"/>
      <c r="Q197" s="57" t="s">
        <v>106</v>
      </c>
      <c r="R197" s="56"/>
      <c r="S197" s="58">
        <v>0.4</v>
      </c>
      <c r="T197" s="59" t="s">
        <v>105</v>
      </c>
      <c r="U197" s="134">
        <f>IF(AB184="5ª",AB192,AA192)</f>
        <v>0</v>
      </c>
      <c r="V197" s="57"/>
      <c r="W197" s="59" t="s">
        <v>96</v>
      </c>
      <c r="X197" s="164">
        <f>U197*0.4</f>
        <v>0</v>
      </c>
      <c r="Y197" s="8"/>
      <c r="Z197" s="8"/>
      <c r="AA197" s="106">
        <f>(AA192/100)*40</f>
        <v>0</v>
      </c>
      <c r="AB197" s="106">
        <f>(AB192/100)*40</f>
        <v>0</v>
      </c>
      <c r="AC197" s="8"/>
      <c r="AD197" s="8"/>
      <c r="AE197" s="77">
        <f>+IF(V206&gt;0,0,AE191*0.4)</f>
        <v>0</v>
      </c>
      <c r="AF197" s="92" t="s">
        <v>145</v>
      </c>
      <c r="AG197" s="8"/>
      <c r="AH197" s="8"/>
      <c r="AI197" s="8"/>
      <c r="AJ197" s="67"/>
      <c r="AK197" s="15"/>
      <c r="AL197" s="83"/>
      <c r="AM197" s="8"/>
      <c r="AN197" s="8"/>
      <c r="AO197" s="15"/>
      <c r="AP197" s="15"/>
      <c r="AQ197" s="83"/>
      <c r="AR197" s="8"/>
      <c r="AS197" s="8"/>
    </row>
    <row r="198" spans="1:45" hidden="1">
      <c r="A198" s="880"/>
      <c r="B198" s="880"/>
      <c r="C198" s="880"/>
      <c r="D198" s="880"/>
      <c r="E198" s="880"/>
      <c r="F198" s="880"/>
      <c r="G198" s="880"/>
      <c r="M198" s="880"/>
      <c r="N198" s="3"/>
      <c r="O198" s="893"/>
      <c r="P198" s="551"/>
      <c r="Q198" s="57"/>
      <c r="R198" s="56"/>
      <c r="S198" s="58"/>
      <c r="T198" s="59"/>
      <c r="U198" s="60"/>
      <c r="V198" s="57"/>
      <c r="W198" s="59"/>
      <c r="X198" s="13"/>
      <c r="Y198" s="8"/>
      <c r="Z198" s="8"/>
      <c r="AA198" s="138"/>
      <c r="AB198" s="138"/>
      <c r="AC198" s="8"/>
      <c r="AD198" s="8"/>
      <c r="AE198" s="8"/>
      <c r="AF198" s="32"/>
      <c r="AG198" s="8"/>
      <c r="AH198" s="8"/>
      <c r="AI198" s="8"/>
      <c r="AJ198" s="15"/>
      <c r="AK198" s="15"/>
      <c r="AL198" s="83"/>
      <c r="AM198" s="15"/>
      <c r="AN198" s="8"/>
      <c r="AO198" s="15"/>
      <c r="AP198" s="83"/>
      <c r="AQ198" s="83"/>
      <c r="AR198" s="8"/>
      <c r="AS198" s="8"/>
    </row>
    <row r="199" spans="1:45" hidden="1">
      <c r="A199" s="880"/>
      <c r="B199" s="880"/>
      <c r="C199" s="880"/>
      <c r="D199" s="880"/>
      <c r="E199" s="880"/>
      <c r="F199" s="880"/>
      <c r="G199" s="880"/>
      <c r="M199" s="880"/>
      <c r="N199" s="3"/>
      <c r="O199" s="893"/>
      <c r="P199" s="551"/>
      <c r="Q199" s="57" t="s">
        <v>204</v>
      </c>
      <c r="R199" s="57"/>
      <c r="S199" s="57"/>
      <c r="T199" s="57"/>
      <c r="U199" s="65">
        <f>IF((AA199+AB199)&gt;0,X197,0)</f>
        <v>0</v>
      </c>
      <c r="V199" s="61" t="s">
        <v>39</v>
      </c>
      <c r="W199" s="59" t="s">
        <v>96</v>
      </c>
      <c r="X199" s="164">
        <f>IF((AA199+AB199)&gt;0,(U197*0.4),0)</f>
        <v>0</v>
      </c>
      <c r="Y199" s="8"/>
      <c r="Z199" s="8"/>
      <c r="AA199" s="106">
        <f>IF($F$83="si",AA197,0)</f>
        <v>0</v>
      </c>
      <c r="AB199" s="106">
        <f>IF($F$83="si",AB197,0)</f>
        <v>0</v>
      </c>
      <c r="AC199" s="8"/>
      <c r="AD199" s="8"/>
      <c r="AE199" s="33">
        <f>X199</f>
        <v>0</v>
      </c>
      <c r="AF199" s="15" t="s">
        <v>225</v>
      </c>
      <c r="AG199" s="8"/>
      <c r="AH199" s="8"/>
      <c r="AI199" s="8"/>
      <c r="AJ199" s="15"/>
      <c r="AK199" s="15"/>
      <c r="AL199" s="83"/>
      <c r="AM199" s="15"/>
      <c r="AN199" s="8"/>
      <c r="AO199" s="15"/>
      <c r="AP199" s="83"/>
      <c r="AQ199" s="83"/>
      <c r="AR199" s="8"/>
      <c r="AS199" s="8"/>
    </row>
    <row r="200" spans="1:45" hidden="1">
      <c r="A200" s="880"/>
      <c r="B200" s="880"/>
      <c r="C200" s="880"/>
      <c r="D200" s="880"/>
      <c r="E200" s="880"/>
      <c r="F200" s="880"/>
      <c r="G200" s="880"/>
      <c r="M200" s="880"/>
      <c r="N200" s="3"/>
      <c r="O200" s="893"/>
      <c r="P200" s="551"/>
      <c r="Q200" s="57"/>
      <c r="R200" s="57"/>
      <c r="S200" s="57"/>
      <c r="T200" s="57"/>
      <c r="U200" s="59"/>
      <c r="V200" s="61"/>
      <c r="W200" s="59"/>
      <c r="X200" s="15"/>
      <c r="Y200" s="8"/>
      <c r="Z200" s="8"/>
      <c r="AA200" s="61"/>
      <c r="AB200" s="61"/>
      <c r="AC200" s="8"/>
      <c r="AD200" s="8"/>
      <c r="AE200" s="8"/>
      <c r="AF200" s="32"/>
      <c r="AG200" s="8"/>
      <c r="AH200" s="8"/>
      <c r="AI200" s="8"/>
      <c r="AJ200" s="15"/>
      <c r="AK200" s="15"/>
      <c r="AL200" s="83"/>
      <c r="AM200" s="15"/>
      <c r="AN200" s="8"/>
      <c r="AO200" s="15"/>
      <c r="AP200" s="83"/>
      <c r="AQ200" s="83"/>
      <c r="AR200" s="8"/>
      <c r="AS200" s="8"/>
    </row>
    <row r="201" spans="1:45" ht="15.75" hidden="1">
      <c r="A201" s="880"/>
      <c r="B201" s="880"/>
      <c r="C201" s="880"/>
      <c r="D201" s="880"/>
      <c r="E201" s="880"/>
      <c r="F201" s="880"/>
      <c r="G201" s="880"/>
      <c r="H201" s="880"/>
      <c r="I201" s="880"/>
      <c r="J201" s="880"/>
      <c r="K201" s="880"/>
      <c r="L201" s="880"/>
      <c r="M201" s="880"/>
      <c r="N201" s="3"/>
      <c r="O201" s="893"/>
      <c r="P201" s="551"/>
      <c r="Q201" s="57" t="s">
        <v>39</v>
      </c>
      <c r="R201" s="61" t="s">
        <v>39</v>
      </c>
      <c r="S201" s="57" t="s">
        <v>39</v>
      </c>
      <c r="T201" s="57" t="s">
        <v>39</v>
      </c>
      <c r="U201" s="59" t="s">
        <v>39</v>
      </c>
      <c r="V201" s="63" t="s">
        <v>122</v>
      </c>
      <c r="W201" s="59" t="s">
        <v>96</v>
      </c>
      <c r="X201" s="186">
        <f>IF(AB184="3ª",AA201,AB201)</f>
        <v>0</v>
      </c>
      <c r="Y201" s="157"/>
      <c r="Z201" s="8"/>
      <c r="AA201" s="74">
        <f>SUM(AA195:AA199)</f>
        <v>0</v>
      </c>
      <c r="AB201" s="74">
        <f>SUM(AB195:AB199)</f>
        <v>0</v>
      </c>
      <c r="AC201" s="8"/>
      <c r="AD201" s="8"/>
      <c r="AE201" s="55">
        <f>+AE195+AE197+AE199</f>
        <v>0</v>
      </c>
      <c r="AF201" s="32" t="s">
        <v>143</v>
      </c>
      <c r="AG201" s="8"/>
      <c r="AH201" s="8"/>
      <c r="AI201" s="8"/>
      <c r="AJ201" s="15" t="s">
        <v>176</v>
      </c>
      <c r="AK201" s="15" t="s">
        <v>177</v>
      </c>
      <c r="AL201" s="83" t="s">
        <v>177</v>
      </c>
      <c r="AM201" s="15" t="s">
        <v>177</v>
      </c>
      <c r="AN201" s="8"/>
      <c r="AO201" s="15"/>
      <c r="AP201" s="130"/>
      <c r="AQ201" s="83"/>
      <c r="AR201" s="8"/>
      <c r="AS201" s="8"/>
    </row>
    <row r="202" spans="1:45" hidden="1">
      <c r="A202" s="880"/>
      <c r="B202" s="880"/>
      <c r="C202" s="880"/>
      <c r="D202" s="880"/>
      <c r="E202" s="880"/>
      <c r="F202" s="880"/>
      <c r="G202" s="880"/>
      <c r="H202" s="880"/>
      <c r="I202" s="880"/>
      <c r="J202" s="880"/>
      <c r="K202" s="880"/>
      <c r="L202" s="880"/>
      <c r="M202" s="880"/>
      <c r="P202" s="551"/>
      <c r="Q202" s="8"/>
      <c r="R202" s="8"/>
      <c r="S202" s="8"/>
      <c r="T202" s="14"/>
      <c r="U202" s="23"/>
      <c r="V202" s="24"/>
      <c r="W202" s="15"/>
      <c r="X202" s="15"/>
      <c r="Y202" s="8"/>
      <c r="Z202" s="8"/>
      <c r="AA202" s="24"/>
      <c r="AB202" s="24"/>
      <c r="AC202" s="8"/>
      <c r="AD202" s="8"/>
      <c r="AE202" s="8"/>
      <c r="AF202" s="32"/>
      <c r="AG202" s="8"/>
      <c r="AH202" s="8"/>
      <c r="AI202" s="8"/>
      <c r="AJ202" s="15"/>
      <c r="AK202" s="15"/>
      <c r="AL202" s="133">
        <v>0.06</v>
      </c>
      <c r="AM202" s="105">
        <v>7.0000000000000007E-2</v>
      </c>
      <c r="AN202" s="8"/>
      <c r="AO202" s="15"/>
      <c r="AP202" s="189"/>
      <c r="AQ202" s="133"/>
      <c r="AR202" s="8"/>
      <c r="AS202" s="8"/>
    </row>
    <row r="203" spans="1:45" hidden="1">
      <c r="A203" s="880"/>
      <c r="B203" s="880"/>
      <c r="C203" s="880"/>
      <c r="D203" s="880"/>
      <c r="E203" s="880"/>
      <c r="F203" s="880"/>
      <c r="G203" s="880"/>
      <c r="H203" s="880"/>
      <c r="I203" s="880"/>
      <c r="J203" s="880"/>
      <c r="K203" s="880"/>
      <c r="L203" s="880"/>
      <c r="M203" s="880"/>
      <c r="P203" s="551"/>
      <c r="Q203" s="8"/>
      <c r="R203" s="8"/>
      <c r="S203" s="8"/>
      <c r="T203" s="14"/>
      <c r="U203" s="23"/>
      <c r="V203" s="24"/>
      <c r="W203" s="15"/>
      <c r="X203" s="15"/>
      <c r="Y203" s="8"/>
      <c r="Z203" s="8"/>
      <c r="AA203" s="24"/>
      <c r="AB203" s="24"/>
      <c r="AC203" s="8"/>
      <c r="AD203" s="8"/>
      <c r="AE203" s="8"/>
      <c r="AF203" s="32"/>
      <c r="AG203" s="8"/>
      <c r="AH203" s="8"/>
      <c r="AI203" s="8"/>
      <c r="AJ203" s="15">
        <f>AJ188</f>
        <v>2900000</v>
      </c>
      <c r="AK203" s="15">
        <f>$AK$188</f>
        <v>2900000</v>
      </c>
      <c r="AL203" s="83">
        <f t="shared" ref="AL203:AM207" si="1">AL188</f>
        <v>174000</v>
      </c>
      <c r="AM203" s="15">
        <f t="shared" si="1"/>
        <v>203000.00000000003</v>
      </c>
      <c r="AN203" s="8"/>
      <c r="AO203" s="15"/>
      <c r="AP203" s="130"/>
      <c r="AQ203" s="15"/>
      <c r="AR203" s="8"/>
      <c r="AS203" s="8"/>
    </row>
    <row r="204" spans="1:45" ht="15" hidden="1">
      <c r="A204" s="880"/>
      <c r="B204" s="880"/>
      <c r="C204" s="880"/>
      <c r="D204" s="880"/>
      <c r="E204" s="880"/>
      <c r="F204" s="880"/>
      <c r="G204" s="880"/>
      <c r="H204" s="880"/>
      <c r="I204" s="880"/>
      <c r="J204" s="880"/>
      <c r="K204" s="880"/>
      <c r="L204" s="880"/>
      <c r="M204" s="880"/>
      <c r="P204" s="551"/>
      <c r="Q204" s="78" t="s">
        <v>141</v>
      </c>
      <c r="R204" s="79"/>
      <c r="S204" s="79"/>
      <c r="T204" s="79"/>
      <c r="U204" s="79"/>
      <c r="V204" s="79"/>
      <c r="W204" s="79"/>
      <c r="X204" s="15"/>
      <c r="Y204" s="8"/>
      <c r="Z204" s="79"/>
      <c r="AA204" s="142" t="str">
        <f>$J$146</f>
        <v>ERROR</v>
      </c>
      <c r="AB204" s="140">
        <f>DATOS!L146</f>
        <v>0</v>
      </c>
      <c r="AC204" s="8"/>
      <c r="AD204" s="8"/>
      <c r="AE204" s="79"/>
      <c r="AF204" s="80"/>
      <c r="AG204" s="79"/>
      <c r="AH204" s="159" t="s">
        <v>144</v>
      </c>
      <c r="AI204" s="159"/>
      <c r="AJ204" s="15">
        <f>AJ189</f>
        <v>11600000</v>
      </c>
      <c r="AK204" s="15">
        <f>$AK$189</f>
        <v>14500000</v>
      </c>
      <c r="AL204" s="83">
        <f t="shared" si="1"/>
        <v>812000</v>
      </c>
      <c r="AM204" s="15">
        <f t="shared" si="1"/>
        <v>957000</v>
      </c>
      <c r="AN204" s="14"/>
      <c r="AO204" s="15"/>
      <c r="AP204" s="130"/>
      <c r="AQ204" s="15"/>
      <c r="AR204" s="8"/>
      <c r="AS204" s="8"/>
    </row>
    <row r="205" spans="1:45" hidden="1">
      <c r="A205" s="880"/>
      <c r="B205" s="880"/>
      <c r="C205" s="880"/>
      <c r="D205" s="880"/>
      <c r="E205" s="880"/>
      <c r="F205" s="880"/>
      <c r="G205" s="880"/>
      <c r="H205" s="880"/>
      <c r="I205" s="880"/>
      <c r="J205" s="880"/>
      <c r="K205" s="880"/>
      <c r="L205" s="880"/>
      <c r="M205" s="880"/>
      <c r="N205" s="3"/>
      <c r="O205" s="893"/>
      <c r="P205" s="551"/>
      <c r="Q205" s="81"/>
      <c r="R205" s="82"/>
      <c r="S205" s="82"/>
      <c r="T205" s="82"/>
      <c r="U205" s="82"/>
      <c r="V205" s="82"/>
      <c r="W205" s="82"/>
      <c r="X205" s="15"/>
      <c r="Y205" s="8"/>
      <c r="Z205" s="79"/>
      <c r="AA205" s="139">
        <f>IF(AND(V206&gt;0,V206&lt;=AK203),6,IF(AND(V206&gt;AK203,V206&lt;=AK204),5.5,IF(AND(V206&gt;AK204,V206&lt;=AK205),5,IF(AND(V206&gt;AK205,V206&lt;=AK206),4.5,IF(AND(V206&gt;AK206,V206&lt;=AK207),4,IF(AND(V206&gt;AK207),3.5,0))))))</f>
        <v>0</v>
      </c>
      <c r="AB205" s="139">
        <f>IF(AND(V206&gt;0,V206&lt;=AK203),7,IF(AND(V206&gt;AK203,V206&lt;=AK204),6.5,IF(AND(V206&gt;AK204,V206&lt;=AK205),6,IF(AND(V206&gt;AK205,V206&lt;=AK206),5.5,IF(AND(V206&gt;AK206,V206&lt;=AK207),5,IF(AND(V206&gt;AK207),4.5,0))))))</f>
        <v>0</v>
      </c>
      <c r="AC205" s="8"/>
      <c r="AD205" s="8"/>
      <c r="AE205" s="79"/>
      <c r="AF205" s="80"/>
      <c r="AG205" s="79"/>
      <c r="AH205" s="8"/>
      <c r="AI205" s="8"/>
      <c r="AJ205" s="15">
        <f>AJ190</f>
        <v>14500000</v>
      </c>
      <c r="AK205" s="15">
        <f>AK190</f>
        <v>29000000</v>
      </c>
      <c r="AL205" s="83">
        <f t="shared" si="1"/>
        <v>1537000</v>
      </c>
      <c r="AM205" s="15">
        <f t="shared" si="1"/>
        <v>1827000</v>
      </c>
      <c r="AN205" s="8"/>
      <c r="AO205" s="15"/>
      <c r="AP205" s="130"/>
      <c r="AQ205" s="15"/>
      <c r="AR205" s="8"/>
      <c r="AS205" s="8"/>
    </row>
    <row r="206" spans="1:45" ht="15" hidden="1" customHeight="1">
      <c r="A206" s="880"/>
      <c r="B206" s="880"/>
      <c r="C206" s="880"/>
      <c r="D206" s="880"/>
      <c r="E206" s="880"/>
      <c r="F206" s="880"/>
      <c r="G206" s="880"/>
      <c r="H206" s="880"/>
      <c r="I206" s="880"/>
      <c r="J206" s="880"/>
      <c r="K206" s="880"/>
      <c r="L206" s="880"/>
      <c r="M206" s="880"/>
      <c r="P206" s="551"/>
      <c r="Q206" s="79" t="s">
        <v>95</v>
      </c>
      <c r="R206" s="79"/>
      <c r="S206" s="79"/>
      <c r="T206" s="79"/>
      <c r="U206" s="83"/>
      <c r="V206" s="84">
        <f>DATOS!$L$79</f>
        <v>0</v>
      </c>
      <c r="W206" s="83" t="s">
        <v>39</v>
      </c>
      <c r="X206" s="15"/>
      <c r="Y206" s="8"/>
      <c r="Z206" s="79"/>
      <c r="AA206" s="79"/>
      <c r="AB206" s="79"/>
      <c r="AC206" s="8"/>
      <c r="AD206" s="8"/>
      <c r="AE206" s="79"/>
      <c r="AF206" s="80"/>
      <c r="AG206" s="79"/>
      <c r="AH206" s="8"/>
      <c r="AI206" s="8"/>
      <c r="AJ206" s="15">
        <f>AJ191</f>
        <v>58000000</v>
      </c>
      <c r="AK206" s="15">
        <f>AK191</f>
        <v>87000000</v>
      </c>
      <c r="AL206" s="83">
        <f t="shared" si="1"/>
        <v>4147000</v>
      </c>
      <c r="AM206" s="15">
        <f t="shared" si="1"/>
        <v>5017000</v>
      </c>
      <c r="AN206" s="8"/>
      <c r="AO206" s="15"/>
      <c r="AP206" s="130"/>
      <c r="AQ206" s="15"/>
      <c r="AR206" s="8"/>
      <c r="AS206" s="8"/>
    </row>
    <row r="207" spans="1:45" hidden="1">
      <c r="A207" s="880"/>
      <c r="B207" s="880"/>
      <c r="C207" s="880"/>
      <c r="D207" s="880"/>
      <c r="E207" s="880"/>
      <c r="F207" s="880"/>
      <c r="G207" s="880"/>
      <c r="H207" s="880"/>
      <c r="I207" s="880"/>
      <c r="J207" s="880"/>
      <c r="K207" s="880"/>
      <c r="L207" s="880"/>
      <c r="M207" s="880"/>
      <c r="P207" s="551"/>
      <c r="Q207" s="79" t="s">
        <v>36</v>
      </c>
      <c r="R207" s="79"/>
      <c r="S207" s="79"/>
      <c r="T207" s="85"/>
      <c r="U207" s="86"/>
      <c r="V207" s="87">
        <f>IF(V206&lt;=0,0,IF(AND(V206&gt;0,V206&lt;=AJ203),V206,IF(AND(V206&gt;AJ203,V206&lt;=AJ205),AJ203,IF(AND(V206&gt;AJ205,V206&lt;=AK205),AJ205,IF(AND(V206&gt;AK205,V206&lt;=AK206),AK205,IF(AND(V206&gt;AK206,V206&lt;=AK207),AK206,IF(V206&gt;AJ207,AK207)))))))</f>
        <v>0</v>
      </c>
      <c r="W207" s="83" t="s">
        <v>96</v>
      </c>
      <c r="X207" s="76">
        <f>IF(AB204="5ª",AB207,AA207)</f>
        <v>0</v>
      </c>
      <c r="Y207" s="8"/>
      <c r="Z207" s="79"/>
      <c r="AA207" s="87">
        <f>IF(AND(V206&gt;0,V206&lt;=AK203),V206*0.06,IF(AND(V206&gt;AK203,V206&lt;=AK204),AL203,IF(AND(V206&gt;AK204,V206&lt;=AK205),AL204,IF(AND(V206&gt;AK205,V206&lt;=AK206),AL205,IF(AND(V206&gt;AK206,V206&lt;=AK207),AL206,IF(AND(V206&gt;AK207),AL207,0))))))</f>
        <v>0</v>
      </c>
      <c r="AB207" s="24">
        <f>IF(AND(V206&gt;0,V206&lt;=AK203),V206*0.07,IF(AND(V206&gt;AK203,V206&lt;=AK204),AM203,IF(AND(V206&gt;AK204,V206&lt;=AK205),AM204,IF(AND(V206&gt;AK205,V206&lt;=AK206),AM205,IF(AND(V206&gt;AK206,V206&lt;=AK207),AM206,IF(AND(V206&gt;AK207),AM207,0))))))</f>
        <v>0</v>
      </c>
      <c r="AC207" s="8"/>
      <c r="AD207" s="8"/>
      <c r="AE207" s="79"/>
      <c r="AF207" s="80"/>
      <c r="AG207" s="79"/>
      <c r="AH207" s="8"/>
      <c r="AI207" s="8"/>
      <c r="AJ207" s="15">
        <f>AJ192</f>
        <v>203000000</v>
      </c>
      <c r="AK207" s="15">
        <f>AK192</f>
        <v>290000000</v>
      </c>
      <c r="AL207" s="83">
        <f t="shared" si="1"/>
        <v>12267000</v>
      </c>
      <c r="AM207" s="15">
        <f t="shared" si="1"/>
        <v>15167000</v>
      </c>
      <c r="AN207" s="8"/>
      <c r="AO207" s="15"/>
      <c r="AP207" s="130"/>
      <c r="AQ207" s="15"/>
      <c r="AR207" s="8"/>
      <c r="AS207" s="8"/>
    </row>
    <row r="208" spans="1:45" hidden="1">
      <c r="A208" s="880"/>
      <c r="B208" s="880"/>
      <c r="C208" s="880"/>
      <c r="D208" s="880"/>
      <c r="E208" s="880"/>
      <c r="F208" s="880"/>
      <c r="G208" s="880"/>
      <c r="H208" s="880"/>
      <c r="I208" s="880"/>
      <c r="J208" s="880"/>
      <c r="K208" s="880"/>
      <c r="L208" s="880"/>
      <c r="M208" s="880"/>
      <c r="P208" s="551"/>
      <c r="Q208" s="79" t="s">
        <v>97</v>
      </c>
      <c r="R208" s="79"/>
      <c r="S208" s="79"/>
      <c r="T208" s="85" t="s">
        <v>56</v>
      </c>
      <c r="U208" s="134">
        <f>IF(AB204="5ª",AB205,AA205)</f>
        <v>0</v>
      </c>
      <c r="V208" s="87">
        <f>IF(V206&gt;=0,V206-V207)</f>
        <v>0</v>
      </c>
      <c r="W208" s="83" t="s">
        <v>96</v>
      </c>
      <c r="X208" s="76">
        <f>IF(AB204="5ª",AB208,AA208)</f>
        <v>0</v>
      </c>
      <c r="Y208" s="8"/>
      <c r="Z208" s="79"/>
      <c r="AA208" s="87">
        <f>(AA205/100)*V208</f>
        <v>0</v>
      </c>
      <c r="AB208" s="87">
        <f>(AB205/100)*V208</f>
        <v>0</v>
      </c>
      <c r="AC208" s="8"/>
      <c r="AD208" s="8"/>
      <c r="AE208" s="79"/>
      <c r="AF208" s="80"/>
      <c r="AG208" s="79"/>
      <c r="AH208" s="8"/>
      <c r="AI208" s="8"/>
      <c r="AJ208" s="8"/>
      <c r="AK208" s="15"/>
      <c r="AL208" s="83"/>
      <c r="AM208" s="8"/>
      <c r="AN208" s="8"/>
      <c r="AO208" s="15"/>
      <c r="AP208" s="15"/>
      <c r="AQ208" s="15"/>
      <c r="AR208" s="8"/>
      <c r="AS208" s="8"/>
    </row>
    <row r="209" spans="1:45" hidden="1">
      <c r="A209" s="880"/>
      <c r="B209" s="880"/>
      <c r="C209" s="880"/>
      <c r="D209" s="880"/>
      <c r="E209" s="880"/>
      <c r="F209" s="880"/>
      <c r="G209" s="880"/>
      <c r="H209" s="880"/>
      <c r="I209" s="880"/>
      <c r="J209" s="880"/>
      <c r="K209" s="880"/>
      <c r="L209" s="880"/>
      <c r="M209" s="880"/>
      <c r="P209" s="551"/>
      <c r="Q209" s="79"/>
      <c r="R209" s="79"/>
      <c r="S209" s="79"/>
      <c r="T209" s="85"/>
      <c r="U209" s="86"/>
      <c r="V209" s="79"/>
      <c r="W209" s="83" t="s">
        <v>96</v>
      </c>
      <c r="X209" s="76">
        <f>+X207+X208</f>
        <v>0</v>
      </c>
      <c r="Y209" s="8"/>
      <c r="Z209" s="79"/>
      <c r="AA209" s="87">
        <f>+AA208+AA207</f>
        <v>0</v>
      </c>
      <c r="AB209" s="87">
        <f>+AB207+AB208</f>
        <v>0</v>
      </c>
      <c r="AC209" s="8"/>
      <c r="AD209" s="8"/>
      <c r="AE209" s="79"/>
      <c r="AF209" s="80"/>
      <c r="AG209" s="79"/>
      <c r="AH209" s="8"/>
      <c r="AI209" s="8"/>
      <c r="AJ209" s="8"/>
      <c r="AK209" s="15"/>
      <c r="AL209" s="83"/>
      <c r="AM209" s="8"/>
      <c r="AN209" s="8"/>
      <c r="AO209" s="15"/>
      <c r="AP209" s="15"/>
      <c r="AQ209" s="15"/>
      <c r="AR209" s="8"/>
      <c r="AS209" s="8"/>
    </row>
    <row r="210" spans="1:45" hidden="1">
      <c r="A210" s="880"/>
      <c r="B210" s="880"/>
      <c r="C210" s="880"/>
      <c r="D210" s="880"/>
      <c r="E210" s="880"/>
      <c r="F210" s="880"/>
      <c r="G210" s="880"/>
      <c r="H210" s="880"/>
      <c r="I210" s="880"/>
      <c r="J210" s="880"/>
      <c r="K210" s="880"/>
      <c r="L210" s="880"/>
      <c r="M210" s="880"/>
      <c r="P210" s="551"/>
      <c r="Q210" s="82" t="s">
        <v>134</v>
      </c>
      <c r="R210" s="88">
        <v>0.6</v>
      </c>
      <c r="S210" s="89" t="s">
        <v>105</v>
      </c>
      <c r="T210" s="134">
        <f>IF(AB204="5ª",AB209,AA209)</f>
        <v>0</v>
      </c>
      <c r="U210" s="8"/>
      <c r="V210" s="84"/>
      <c r="W210" s="89" t="s">
        <v>96</v>
      </c>
      <c r="X210" s="241">
        <f>+X209*R210</f>
        <v>0</v>
      </c>
      <c r="Y210" s="8"/>
      <c r="Z210" s="79"/>
      <c r="AA210" s="84"/>
      <c r="AB210" s="84"/>
      <c r="AC210" s="8"/>
      <c r="AD210" s="8"/>
      <c r="AE210" s="79"/>
      <c r="AF210" s="80"/>
      <c r="AG210" s="79"/>
      <c r="AH210" s="8"/>
      <c r="AI210" s="8"/>
      <c r="AJ210" s="8"/>
      <c r="AK210" s="15"/>
      <c r="AL210" s="15"/>
      <c r="AM210" s="8"/>
      <c r="AN210" s="8"/>
      <c r="AO210" s="15"/>
      <c r="AP210" s="15"/>
      <c r="AQ210" s="15"/>
      <c r="AR210" s="8"/>
      <c r="AS210" s="8"/>
    </row>
    <row r="211" spans="1:45" ht="15" hidden="1">
      <c r="A211" s="880"/>
      <c r="B211" s="880"/>
      <c r="C211" s="880"/>
      <c r="D211" s="880"/>
      <c r="E211" s="880"/>
      <c r="F211" s="880"/>
      <c r="G211" s="880"/>
      <c r="H211" s="880"/>
      <c r="I211" s="880"/>
      <c r="J211" s="880"/>
      <c r="K211" s="880"/>
      <c r="L211" s="880"/>
      <c r="M211" s="880"/>
      <c r="P211" s="551"/>
      <c r="Q211" s="8"/>
      <c r="R211" s="8"/>
      <c r="S211" s="8"/>
      <c r="T211" s="8"/>
      <c r="U211" s="8"/>
      <c r="V211" s="90" t="s">
        <v>98</v>
      </c>
      <c r="W211" s="89" t="s">
        <v>96</v>
      </c>
      <c r="X211" s="185">
        <f>IF(AB204="5ª",AB211,AA211)</f>
        <v>0</v>
      </c>
      <c r="Y211" s="157"/>
      <c r="Z211" s="79"/>
      <c r="AA211" s="74">
        <f>(AA209/100)*60</f>
        <v>0</v>
      </c>
      <c r="AB211" s="74">
        <f>(AB209/100)*60</f>
        <v>0</v>
      </c>
      <c r="AC211" s="8"/>
      <c r="AD211" s="8"/>
      <c r="AE211" s="79"/>
      <c r="AF211" s="80"/>
      <c r="AG211" s="79"/>
      <c r="AH211" s="8"/>
      <c r="AI211" s="8"/>
      <c r="AJ211" s="15"/>
      <c r="AK211" s="15"/>
      <c r="AL211" s="15"/>
      <c r="AM211" s="8"/>
      <c r="AN211" s="8"/>
      <c r="AO211" s="15"/>
      <c r="AP211" s="15"/>
      <c r="AQ211" s="15"/>
      <c r="AR211" s="8"/>
      <c r="AS211" s="8"/>
    </row>
    <row r="212" spans="1:45" hidden="1">
      <c r="A212" s="880"/>
      <c r="B212" s="880"/>
      <c r="C212" s="880"/>
      <c r="D212" s="880"/>
      <c r="E212" s="880"/>
      <c r="F212" s="880"/>
      <c r="G212" s="880"/>
      <c r="H212" s="880"/>
      <c r="I212" s="880"/>
      <c r="J212" s="880"/>
      <c r="K212" s="880"/>
      <c r="L212" s="880"/>
      <c r="M212" s="880"/>
      <c r="P212" s="551"/>
      <c r="Q212" s="79"/>
      <c r="R212" s="79"/>
      <c r="S212" s="79"/>
      <c r="T212" s="85"/>
      <c r="U212" s="86"/>
      <c r="V212" s="84"/>
      <c r="W212" s="83"/>
      <c r="X212" s="165"/>
      <c r="Y212" s="84"/>
      <c r="Z212" s="79"/>
      <c r="AA212" s="8"/>
      <c r="AB212" s="8"/>
      <c r="AC212" s="8"/>
      <c r="AD212" s="8"/>
      <c r="AE212" s="79"/>
      <c r="AF212" s="80"/>
      <c r="AG212" s="79"/>
      <c r="AH212" s="79"/>
      <c r="AI212" s="79"/>
      <c r="AJ212" s="83" t="s">
        <v>176</v>
      </c>
      <c r="AK212" s="83" t="s">
        <v>177</v>
      </c>
      <c r="AL212" s="83" t="s">
        <v>177</v>
      </c>
      <c r="AM212" s="79"/>
      <c r="AN212" s="8"/>
      <c r="AO212" s="15"/>
      <c r="AP212" s="130"/>
      <c r="AQ212" s="15"/>
      <c r="AR212" s="8"/>
      <c r="AS212" s="8"/>
    </row>
    <row r="213" spans="1:45" hidden="1">
      <c r="A213" s="880"/>
      <c r="B213" s="880"/>
      <c r="C213" s="880"/>
      <c r="D213" s="880"/>
      <c r="E213" s="880"/>
      <c r="F213" s="880"/>
      <c r="G213" s="880"/>
      <c r="H213" s="880"/>
      <c r="I213" s="880"/>
      <c r="J213" s="880"/>
      <c r="K213" s="880"/>
      <c r="L213" s="880"/>
      <c r="M213" s="880"/>
      <c r="P213" s="551"/>
      <c r="Q213" s="9" t="s">
        <v>129</v>
      </c>
      <c r="R213" s="8"/>
      <c r="S213" s="8"/>
      <c r="T213" s="14"/>
      <c r="U213" s="16"/>
      <c r="V213" s="8"/>
      <c r="W213" s="8"/>
      <c r="X213" s="15"/>
      <c r="Y213" s="8"/>
      <c r="Z213" s="8"/>
      <c r="AA213" s="8"/>
      <c r="AB213" s="8"/>
      <c r="AC213" s="8"/>
      <c r="AD213" s="8"/>
      <c r="AE213" s="8"/>
      <c r="AF213" s="8"/>
      <c r="AG213" s="79"/>
      <c r="AH213" s="79"/>
      <c r="AI213" s="79"/>
      <c r="AJ213" s="83"/>
      <c r="AK213" s="83"/>
      <c r="AL213" s="104">
        <v>1.2500000000000001E-2</v>
      </c>
      <c r="AM213" s="79"/>
      <c r="AN213" s="8"/>
      <c r="AO213" s="15"/>
      <c r="AP213" s="130"/>
      <c r="AQ213" s="15"/>
      <c r="AR213" s="8"/>
      <c r="AS213" s="8"/>
    </row>
    <row r="214" spans="1:45" hidden="1">
      <c r="A214" s="880"/>
      <c r="B214" s="880"/>
      <c r="C214" s="880"/>
      <c r="D214" s="880"/>
      <c r="E214" s="880"/>
      <c r="F214" s="880"/>
      <c r="G214" s="880"/>
      <c r="H214" s="880"/>
      <c r="I214" s="880"/>
      <c r="J214" s="880"/>
      <c r="K214" s="880"/>
      <c r="L214" s="880"/>
      <c r="M214" s="880"/>
      <c r="P214" s="551"/>
      <c r="Q214" s="8" t="s">
        <v>99</v>
      </c>
      <c r="R214" s="8"/>
      <c r="S214" s="8"/>
      <c r="T214" s="14"/>
      <c r="U214" s="16"/>
      <c r="V214" s="8"/>
      <c r="W214" s="8"/>
      <c r="X214" s="15"/>
      <c r="Y214" s="8"/>
      <c r="Z214" s="8"/>
      <c r="AA214" s="8"/>
      <c r="AB214" s="8"/>
      <c r="AC214" s="8"/>
      <c r="AD214" s="8"/>
      <c r="AE214" s="8"/>
      <c r="AF214" s="8"/>
      <c r="AG214" s="79"/>
      <c r="AH214" s="159" t="s">
        <v>168</v>
      </c>
      <c r="AI214" s="159"/>
      <c r="AJ214" s="208">
        <f>220000*$S$180</f>
        <v>580000</v>
      </c>
      <c r="AK214" s="15">
        <f>AJ214</f>
        <v>580000</v>
      </c>
      <c r="AL214" s="83">
        <f>AJ214*0.0125</f>
        <v>7250</v>
      </c>
      <c r="AM214" s="79"/>
      <c r="AN214" s="8"/>
      <c r="AO214" s="15"/>
      <c r="AP214" s="130"/>
      <c r="AQ214" s="15"/>
      <c r="AR214" s="8"/>
      <c r="AS214" s="8"/>
    </row>
    <row r="215" spans="1:45" hidden="1">
      <c r="A215" s="880"/>
      <c r="B215" s="880"/>
      <c r="C215" s="880"/>
      <c r="D215" s="880"/>
      <c r="E215" s="880"/>
      <c r="F215" s="880"/>
      <c r="G215" s="880"/>
      <c r="H215" s="880"/>
      <c r="I215" s="880"/>
      <c r="J215" s="880"/>
      <c r="K215" s="880"/>
      <c r="L215" s="880"/>
      <c r="M215" s="880"/>
      <c r="P215" s="551"/>
      <c r="Q215" s="8" t="s">
        <v>95</v>
      </c>
      <c r="R215" s="8"/>
      <c r="S215" s="8"/>
      <c r="T215" s="14"/>
      <c r="U215" s="16"/>
      <c r="V215" s="24">
        <f>DATOS!$F$99</f>
        <v>0</v>
      </c>
      <c r="W215" s="15" t="s">
        <v>39</v>
      </c>
      <c r="X215" s="15"/>
      <c r="Y215" s="8"/>
      <c r="Z215" s="8"/>
      <c r="AA215" s="8"/>
      <c r="AB215" s="8"/>
      <c r="AC215" s="8"/>
      <c r="AD215" s="8"/>
      <c r="AE215" s="8"/>
      <c r="AF215" s="8"/>
      <c r="AG215" s="79"/>
      <c r="AH215" s="79"/>
      <c r="AI215" s="79"/>
      <c r="AJ215" s="208">
        <f>880000*$S$180</f>
        <v>2320000</v>
      </c>
      <c r="AK215" s="15">
        <f>AK214+AJ215</f>
        <v>2900000</v>
      </c>
      <c r="AL215" s="83">
        <f>AJ214*0.0125+AJ215*0.01</f>
        <v>30450</v>
      </c>
      <c r="AM215" s="79"/>
      <c r="AN215" s="8"/>
      <c r="AO215" s="15"/>
      <c r="AP215" s="130"/>
      <c r="AQ215" s="15"/>
      <c r="AR215" s="8"/>
      <c r="AS215" s="8"/>
    </row>
    <row r="216" spans="1:45" hidden="1">
      <c r="A216" s="880"/>
      <c r="B216" s="880"/>
      <c r="C216" s="880"/>
      <c r="D216" s="880"/>
      <c r="E216" s="880"/>
      <c r="F216" s="880"/>
      <c r="G216" s="880"/>
      <c r="H216" s="880"/>
      <c r="I216" s="880"/>
      <c r="J216" s="880"/>
      <c r="K216" s="880"/>
      <c r="L216" s="880"/>
      <c r="M216" s="880"/>
      <c r="P216" s="551"/>
      <c r="Q216" s="8" t="s">
        <v>36</v>
      </c>
      <c r="R216" s="8"/>
      <c r="S216" s="8"/>
      <c r="T216" s="14"/>
      <c r="U216" s="23"/>
      <c r="V216" s="33">
        <f>IF(V215&lt;=0,0,IF(AND(V215&gt;0,V215&lt;=AJ214),V215,IF(AND(V215&gt;AJ214,V215&lt;=AJ216),AJ214,IF(AND(V215&gt;AJ216,V215&lt;=AK216),AJ216,IF(AND(V215&gt;AK216,V215&lt;=AK217),AK216,IF(V215&gt;AK216,AK217))))))</f>
        <v>0</v>
      </c>
      <c r="W216" s="15" t="s">
        <v>96</v>
      </c>
      <c r="X216" s="164">
        <f>IF(AND(V215&gt;0,V215&lt;=AJ214),AL214,IF(AND(V215&gt;AJ214,V215&lt;=AJ216),AL214,IF(AND(V215&gt;AJ216,V215&lt;=AK216),AL215,IF(AND(V215&gt;AK216,V215&lt;=AK217),AL216,IF(AND(V215&gt;AK217),AL217,0)))))</f>
        <v>0</v>
      </c>
      <c r="Y216" s="24"/>
      <c r="Z216" s="8"/>
      <c r="AA216" s="8"/>
      <c r="AB216" s="8"/>
      <c r="AC216" s="8"/>
      <c r="AD216" s="8"/>
      <c r="AE216" s="24"/>
      <c r="AF216" s="8"/>
      <c r="AG216" s="79"/>
      <c r="AH216" s="79"/>
      <c r="AI216" s="79"/>
      <c r="AJ216" s="208">
        <f>1100000*$S$180</f>
        <v>2900000</v>
      </c>
      <c r="AK216" s="15">
        <f>AK215+AJ216</f>
        <v>5800000</v>
      </c>
      <c r="AL216" s="83">
        <f>AJ214*0.0125+AJ215*0.01+AJ216*0.007</f>
        <v>50750</v>
      </c>
      <c r="AM216" s="79"/>
      <c r="AN216" s="8"/>
      <c r="AO216" s="15"/>
      <c r="AP216" s="130"/>
      <c r="AQ216" s="15"/>
      <c r="AR216" s="8"/>
      <c r="AS216" s="8"/>
    </row>
    <row r="217" spans="1:45" hidden="1">
      <c r="A217" s="880"/>
      <c r="B217" s="880"/>
      <c r="C217" s="880"/>
      <c r="D217" s="880"/>
      <c r="E217" s="880"/>
      <c r="F217" s="880"/>
      <c r="G217" s="880"/>
      <c r="H217" s="880"/>
      <c r="I217" s="880"/>
      <c r="J217" s="880"/>
      <c r="K217" s="880"/>
      <c r="L217" s="880"/>
      <c r="M217" s="880"/>
      <c r="P217" s="551"/>
      <c r="Q217" s="8" t="s">
        <v>97</v>
      </c>
      <c r="R217" s="8"/>
      <c r="S217" s="8"/>
      <c r="T217" s="14" t="s">
        <v>56</v>
      </c>
      <c r="U217" s="23">
        <f>IF(AND(V215&gt;0,V215&lt;=AJ214),1.25,IF(AND(V215&gt;AJ214,V215&lt;=AJ216),1,IF(AND(V215&gt;AJ216,V215&lt;=AK216),0.7,IF(AND(V215&gt;AK216,V215&lt;=AK217),0.5,IF(AND(V215&gt;AK217),0.3,0)))))</f>
        <v>0</v>
      </c>
      <c r="V217" s="33">
        <f>IF(V215&lt;12840,0,IF(V215&gt;=12840,V215-V216))</f>
        <v>0</v>
      </c>
      <c r="W217" s="15" t="s">
        <v>96</v>
      </c>
      <c r="X217" s="164">
        <f>(U217/100)*V217</f>
        <v>0</v>
      </c>
      <c r="Y217" s="24"/>
      <c r="Z217" s="8"/>
      <c r="AA217" s="8"/>
      <c r="AB217" s="8"/>
      <c r="AC217" s="8"/>
      <c r="AD217" s="8"/>
      <c r="AE217" s="8"/>
      <c r="AF217" s="8"/>
      <c r="AG217" s="79"/>
      <c r="AH217" s="79"/>
      <c r="AI217" s="79"/>
      <c r="AJ217" s="208">
        <f>3300000*$S$180</f>
        <v>8700000</v>
      </c>
      <c r="AK217" s="15">
        <f>AK216+AJ217</f>
        <v>14500000</v>
      </c>
      <c r="AL217" s="83">
        <f>AJ214*0.0125+AJ215*0.01+AJ216*0.007+AJ217*0.005</f>
        <v>94250</v>
      </c>
      <c r="AM217" s="79"/>
      <c r="AN217" s="8"/>
      <c r="AO217" s="15"/>
      <c r="AP217" s="130"/>
      <c r="AQ217" s="15"/>
      <c r="AR217" s="8"/>
      <c r="AS217" s="8"/>
    </row>
    <row r="218" spans="1:45" ht="15" hidden="1">
      <c r="A218" s="880"/>
      <c r="B218" s="880"/>
      <c r="C218" s="880"/>
      <c r="D218" s="880"/>
      <c r="E218" s="880"/>
      <c r="F218" s="880"/>
      <c r="G218" s="880"/>
      <c r="H218" s="880"/>
      <c r="I218" s="880"/>
      <c r="J218" s="880"/>
      <c r="K218" s="880"/>
      <c r="L218" s="880"/>
      <c r="M218" s="880"/>
      <c r="P218" s="551"/>
      <c r="Q218" s="8"/>
      <c r="R218" s="8"/>
      <c r="S218" s="8"/>
      <c r="T218" s="14"/>
      <c r="U218" s="16"/>
      <c r="V218" s="13" t="s">
        <v>98</v>
      </c>
      <c r="W218" s="8"/>
      <c r="X218" s="166">
        <f>+X216+X217</f>
        <v>0</v>
      </c>
      <c r="Y218" s="54"/>
      <c r="Z218" s="8"/>
      <c r="AA218" s="8"/>
      <c r="AB218" s="8"/>
      <c r="AC218" s="8"/>
      <c r="AD218" s="8"/>
      <c r="AE218" s="8"/>
      <c r="AF218" s="8"/>
      <c r="AG218" s="79"/>
      <c r="AH218" s="79"/>
      <c r="AI218" s="79"/>
      <c r="AJ218" s="79"/>
      <c r="AK218" s="83"/>
      <c r="AL218" s="83"/>
      <c r="AM218" s="79"/>
      <c r="AN218" s="8"/>
      <c r="AO218" s="15"/>
      <c r="AP218" s="15"/>
      <c r="AQ218" s="15"/>
      <c r="AR218" s="8"/>
      <c r="AS218" s="8"/>
    </row>
    <row r="219" spans="1:45" hidden="1">
      <c r="A219" s="880"/>
      <c r="B219" s="880"/>
      <c r="C219" s="880"/>
      <c r="D219" s="880"/>
      <c r="E219" s="880"/>
      <c r="F219" s="880"/>
      <c r="G219" s="880"/>
      <c r="H219" s="880"/>
      <c r="I219" s="880"/>
      <c r="J219" s="880"/>
      <c r="K219" s="880"/>
      <c r="L219" s="880"/>
      <c r="M219" s="880"/>
      <c r="P219" s="551"/>
      <c r="Q219" s="9"/>
      <c r="R219" s="8"/>
      <c r="S219" s="8"/>
      <c r="T219" s="14"/>
      <c r="U219" s="16"/>
      <c r="V219" s="13"/>
      <c r="W219" s="8"/>
      <c r="X219" s="135"/>
      <c r="Y219" s="18"/>
      <c r="Z219" s="8"/>
      <c r="AA219" s="8"/>
      <c r="AB219" s="8"/>
      <c r="AC219" s="8"/>
      <c r="AD219" s="8"/>
      <c r="AE219" s="8"/>
      <c r="AF219" s="8"/>
      <c r="AG219" s="79"/>
      <c r="AH219" s="79"/>
      <c r="AI219" s="79"/>
      <c r="AJ219" s="79"/>
      <c r="AK219" s="15"/>
      <c r="AL219" s="83"/>
      <c r="AM219" s="79"/>
      <c r="AN219" s="8"/>
      <c r="AO219" s="15"/>
      <c r="AP219" s="15"/>
      <c r="AQ219" s="15"/>
      <c r="AR219" s="8"/>
      <c r="AS219" s="8"/>
    </row>
    <row r="220" spans="1:45" hidden="1">
      <c r="A220" s="880"/>
      <c r="B220" s="880"/>
      <c r="C220" s="880"/>
      <c r="D220" s="880"/>
      <c r="E220" s="880"/>
      <c r="F220" s="880"/>
      <c r="G220" s="880"/>
      <c r="H220" s="880"/>
      <c r="I220" s="880"/>
      <c r="J220" s="880"/>
      <c r="K220" s="880"/>
      <c r="L220" s="880"/>
      <c r="M220" s="880"/>
      <c r="P220" s="551"/>
      <c r="Q220" s="9" t="s">
        <v>130</v>
      </c>
      <c r="R220" s="8"/>
      <c r="S220" s="8"/>
      <c r="T220" s="14"/>
      <c r="U220" s="16"/>
      <c r="V220" s="13"/>
      <c r="W220" s="8"/>
      <c r="X220" s="135"/>
      <c r="Y220" s="18"/>
      <c r="Z220" s="8"/>
      <c r="AA220" s="8"/>
      <c r="AB220" s="8"/>
      <c r="AC220" s="8"/>
      <c r="AD220" s="8"/>
      <c r="AE220" s="8"/>
      <c r="AF220" s="8"/>
      <c r="AG220" s="79"/>
      <c r="AH220" s="79"/>
      <c r="AI220" s="79"/>
      <c r="AJ220" s="83"/>
      <c r="AK220" s="83"/>
      <c r="AL220" s="83"/>
      <c r="AM220" s="79"/>
      <c r="AN220" s="8"/>
      <c r="AO220" s="15"/>
      <c r="AP220" s="235"/>
      <c r="AQ220" s="15"/>
      <c r="AR220" s="8"/>
      <c r="AS220" s="8"/>
    </row>
    <row r="221" spans="1:45" ht="20.25" hidden="1" customHeight="1">
      <c r="A221" s="880"/>
      <c r="B221" s="880"/>
      <c r="C221" s="880"/>
      <c r="D221" s="880"/>
      <c r="E221" s="880"/>
      <c r="F221" s="880"/>
      <c r="G221" s="880"/>
      <c r="H221" s="880"/>
      <c r="I221" s="880"/>
      <c r="J221" s="880"/>
      <c r="K221" s="880"/>
      <c r="L221" s="880"/>
      <c r="M221" s="880"/>
      <c r="P221" s="551"/>
      <c r="Q221" s="9"/>
      <c r="R221" s="8"/>
      <c r="S221" s="8"/>
      <c r="T221" s="14"/>
      <c r="U221" s="16"/>
      <c r="V221" s="13"/>
      <c r="W221" s="8"/>
      <c r="X221" s="135"/>
      <c r="Y221" s="18"/>
      <c r="Z221" s="8"/>
      <c r="AA221" s="8"/>
      <c r="AB221" s="8"/>
      <c r="AC221" s="8"/>
      <c r="AD221" s="8"/>
      <c r="AE221" s="8"/>
      <c r="AF221" s="8"/>
      <c r="AG221" s="79"/>
      <c r="AH221" s="79"/>
      <c r="AI221" s="79"/>
      <c r="AJ221" s="83" t="s">
        <v>176</v>
      </c>
      <c r="AK221" s="83" t="s">
        <v>177</v>
      </c>
      <c r="AL221" s="83" t="s">
        <v>177</v>
      </c>
      <c r="AM221" s="79"/>
      <c r="AN221" s="8"/>
      <c r="AO221" s="15"/>
      <c r="AP221" s="130"/>
      <c r="AQ221" s="15"/>
      <c r="AR221" s="8"/>
      <c r="AS221" s="8"/>
    </row>
    <row r="222" spans="1:45" hidden="1">
      <c r="A222" s="880"/>
      <c r="B222" s="880"/>
      <c r="C222" s="880"/>
      <c r="D222" s="880"/>
      <c r="E222" s="880"/>
      <c r="F222" s="880"/>
      <c r="G222" s="880"/>
      <c r="H222" s="880"/>
      <c r="I222" s="880"/>
      <c r="J222" s="880"/>
      <c r="K222" s="880"/>
      <c r="L222" s="880"/>
      <c r="M222" s="880"/>
      <c r="P222" s="551"/>
      <c r="Q222" s="8" t="s">
        <v>101</v>
      </c>
      <c r="R222" s="8"/>
      <c r="S222" s="8"/>
      <c r="T222" s="14" t="s">
        <v>56</v>
      </c>
      <c r="U222" s="41" t="s">
        <v>102</v>
      </c>
      <c r="V222" s="8"/>
      <c r="W222" s="33"/>
      <c r="X222" s="164">
        <f>+IF(V224&lt;=0,0,IF(V224*0.005&lt;AF227,AF227,V224*0.005))</f>
        <v>0</v>
      </c>
      <c r="Y222" s="24"/>
      <c r="Z222" s="8"/>
      <c r="AA222" s="8"/>
      <c r="AB222" s="8"/>
      <c r="AC222" s="8"/>
      <c r="AD222" s="8"/>
      <c r="AE222" s="33"/>
      <c r="AF222" s="8"/>
      <c r="AG222" s="79"/>
      <c r="AH222" s="79"/>
      <c r="AI222" s="79"/>
      <c r="AJ222" s="83"/>
      <c r="AK222" s="83"/>
      <c r="AL222" s="104">
        <v>0.02</v>
      </c>
      <c r="AM222" s="79"/>
      <c r="AN222" s="8"/>
      <c r="AO222" s="15"/>
      <c r="AP222" s="130"/>
      <c r="AQ222" s="15"/>
      <c r="AR222" s="8"/>
      <c r="AS222" s="8"/>
    </row>
    <row r="223" spans="1:45" hidden="1">
      <c r="A223" s="880"/>
      <c r="B223" s="880"/>
      <c r="C223" s="880"/>
      <c r="D223" s="880"/>
      <c r="E223" s="880"/>
      <c r="F223" s="880"/>
      <c r="G223" s="880"/>
      <c r="H223" s="880"/>
      <c r="I223" s="880"/>
      <c r="J223" s="880"/>
      <c r="K223" s="880"/>
      <c r="L223" s="880"/>
      <c r="M223" s="880"/>
      <c r="P223" s="551"/>
      <c r="Q223" s="8" t="s">
        <v>103</v>
      </c>
      <c r="R223" s="8"/>
      <c r="S223" s="8"/>
      <c r="T223" s="14"/>
      <c r="U223" s="16"/>
      <c r="V223" s="8"/>
      <c r="W223" s="8"/>
      <c r="X223" s="164">
        <f>IF(V224=0,0,DATOS!$S$110)</f>
        <v>0</v>
      </c>
      <c r="Y223" s="24"/>
      <c r="Z223" s="8"/>
      <c r="AA223" s="8"/>
      <c r="AB223" s="8"/>
      <c r="AC223" s="8"/>
      <c r="AD223" s="8"/>
      <c r="AE223" s="8"/>
      <c r="AF223" s="8"/>
      <c r="AG223" s="79"/>
      <c r="AH223" s="159" t="s">
        <v>169</v>
      </c>
      <c r="AI223" s="159"/>
      <c r="AJ223" s="208">
        <f>110000*$S$180</f>
        <v>290000</v>
      </c>
      <c r="AK223" s="15">
        <f>AJ223</f>
        <v>290000</v>
      </c>
      <c r="AL223" s="83">
        <f>AJ223*0.02</f>
        <v>5800</v>
      </c>
      <c r="AM223" s="79"/>
      <c r="AN223" s="8"/>
      <c r="AO223" s="15"/>
      <c r="AP223" s="130"/>
      <c r="AQ223" s="15"/>
      <c r="AR223" s="8"/>
      <c r="AS223" s="8"/>
    </row>
    <row r="224" spans="1:45" hidden="1">
      <c r="A224" s="880"/>
      <c r="B224" s="880"/>
      <c r="C224" s="880"/>
      <c r="D224" s="880"/>
      <c r="E224" s="880"/>
      <c r="F224" s="880"/>
      <c r="G224" s="880"/>
      <c r="H224" s="880"/>
      <c r="I224" s="880"/>
      <c r="J224" s="880"/>
      <c r="K224" s="880"/>
      <c r="L224" s="880"/>
      <c r="M224" s="880"/>
      <c r="P224" s="551"/>
      <c r="Q224" s="8" t="s">
        <v>95</v>
      </c>
      <c r="R224" s="8"/>
      <c r="S224" s="8"/>
      <c r="T224" s="14"/>
      <c r="U224" s="16"/>
      <c r="V224" s="24">
        <f>DATOS!$L$99</f>
        <v>0</v>
      </c>
      <c r="W224" s="8"/>
      <c r="X224" s="164"/>
      <c r="Y224" s="24"/>
      <c r="Z224" s="8"/>
      <c r="AA224" s="8"/>
      <c r="AB224" s="8"/>
      <c r="AC224" s="8"/>
      <c r="AD224" s="8"/>
      <c r="AE224" s="8"/>
      <c r="AF224" s="8"/>
      <c r="AG224" s="79"/>
      <c r="AH224" s="79"/>
      <c r="AI224" s="79"/>
      <c r="AJ224" s="208">
        <f>440000*$S$180</f>
        <v>1160000</v>
      </c>
      <c r="AK224" s="15">
        <f>AK223+AJ224</f>
        <v>1450000</v>
      </c>
      <c r="AL224" s="83">
        <f>AJ223*0.02+AJ224*0.015</f>
        <v>23200</v>
      </c>
      <c r="AM224" s="79"/>
      <c r="AN224" s="8"/>
      <c r="AO224" s="15"/>
      <c r="AP224" s="130"/>
      <c r="AQ224" s="15"/>
      <c r="AR224" s="8"/>
      <c r="AS224" s="8"/>
    </row>
    <row r="225" spans="1:45" hidden="1">
      <c r="A225" s="880"/>
      <c r="B225" s="880"/>
      <c r="C225" s="880"/>
      <c r="D225" s="880"/>
      <c r="E225" s="880"/>
      <c r="F225" s="880"/>
      <c r="G225" s="880"/>
      <c r="H225" s="880"/>
      <c r="I225" s="880"/>
      <c r="J225" s="880"/>
      <c r="K225" s="880"/>
      <c r="L225" s="880"/>
      <c r="M225" s="880"/>
      <c r="N225" s="71"/>
      <c r="P225" s="551"/>
      <c r="Q225" s="8" t="s">
        <v>104</v>
      </c>
      <c r="R225" s="8"/>
      <c r="S225" s="8"/>
      <c r="T225" s="14"/>
      <c r="U225" s="23"/>
      <c r="V225" s="33">
        <f>IF(V224&lt;=0,0,IF(AND(V224&gt;0,V224&lt;=AJ223),V224,IF(AND(V224&gt;AJ223,V224&lt;=AJ225),AJ223,IF(AND(V224&gt;AJ225,V224&lt;=AK225),AJ225,IF(AND(V224&gt;AK225,V224&lt;=AK226),AK225,IF(V224&gt;AK226,AK226))))))</f>
        <v>0</v>
      </c>
      <c r="W225" s="34"/>
      <c r="X225" s="164">
        <f>IF(V224&lt;=0,0,IF(V225&lt;=AJ223,(V225*2)/100,IF(V225=AJ225,AL224,IF(V225=AK225,AL225,IF(V225=AK226,AL226,0)))))</f>
        <v>0</v>
      </c>
      <c r="Y225" s="24"/>
      <c r="Z225" s="35"/>
      <c r="AA225" s="8"/>
      <c r="AB225" s="8"/>
      <c r="AC225" s="8"/>
      <c r="AD225" s="8"/>
      <c r="AE225" s="8"/>
      <c r="AF225" s="8"/>
      <c r="AG225" s="79"/>
      <c r="AH225" s="79"/>
      <c r="AI225" s="79"/>
      <c r="AJ225" s="208">
        <f>550000*$S$180</f>
        <v>1450000</v>
      </c>
      <c r="AK225" s="15">
        <f>AK224+AJ225</f>
        <v>2900000</v>
      </c>
      <c r="AL225" s="83">
        <f>AJ223*0.02+AJ224*0.015+AJ225*0.01</f>
        <v>37700</v>
      </c>
      <c r="AM225" s="79"/>
      <c r="AN225" s="8"/>
      <c r="AO225" s="15"/>
      <c r="AP225" s="130"/>
      <c r="AQ225" s="15"/>
      <c r="AR225" s="8"/>
      <c r="AS225" s="8"/>
    </row>
    <row r="226" spans="1:45" hidden="1">
      <c r="A226" s="880"/>
      <c r="B226" s="880"/>
      <c r="C226" s="880"/>
      <c r="D226" s="880"/>
      <c r="E226" s="880"/>
      <c r="F226" s="880"/>
      <c r="G226" s="880"/>
      <c r="H226" s="880"/>
      <c r="I226" s="880"/>
      <c r="J226" s="880"/>
      <c r="K226" s="880"/>
      <c r="L226" s="880"/>
      <c r="M226" s="880"/>
      <c r="P226" s="551"/>
      <c r="Q226" s="8" t="s">
        <v>97</v>
      </c>
      <c r="R226" s="8"/>
      <c r="S226" s="8"/>
      <c r="T226" s="14" t="s">
        <v>56</v>
      </c>
      <c r="U226" s="23">
        <f>IF(AND(V224&gt;0,V224&lt;=AJ223),2,IF(AND(V224&gt;AJ223,V224&lt;=AJ225),1.5,IF(AND(V224&gt;AJ225,V224&lt;=AK225),1,IF(AND(V224&gt;AK225,V224&lt;=AK226),0.8,IF(AND(V224&gt;AK226),0.5,0)))))</f>
        <v>0</v>
      </c>
      <c r="V226" s="33">
        <f>IF(V224&lt;AJ223,0,IF(V224&gt;=6420,V224-V225))</f>
        <v>0</v>
      </c>
      <c r="W226" s="18"/>
      <c r="X226" s="164">
        <f>+(V226*U226)/100</f>
        <v>0</v>
      </c>
      <c r="Y226" s="24"/>
      <c r="Z226" s="8"/>
      <c r="AA226" s="8"/>
      <c r="AD226" s="8"/>
      <c r="AE226" s="8"/>
      <c r="AF226" s="8"/>
      <c r="AG226" s="79"/>
      <c r="AH226" s="79"/>
      <c r="AI226" s="79"/>
      <c r="AJ226" s="208">
        <f>9900000*$S$180</f>
        <v>26100000</v>
      </c>
      <c r="AK226" s="15">
        <f>AK225+AJ226</f>
        <v>29000000</v>
      </c>
      <c r="AL226" s="83">
        <f>AJ223*0.02+AJ224*0.015+AJ225*0.01+AJ226*0.008</f>
        <v>246500</v>
      </c>
      <c r="AM226" s="79"/>
      <c r="AN226" s="8"/>
      <c r="AO226" s="15"/>
      <c r="AP226" s="130"/>
      <c r="AQ226" s="15"/>
      <c r="AR226" s="8"/>
      <c r="AS226" s="8"/>
    </row>
    <row r="227" spans="1:45" ht="15" hidden="1">
      <c r="A227" s="880"/>
      <c r="B227" s="880"/>
      <c r="C227" s="880"/>
      <c r="D227" s="880"/>
      <c r="E227" s="880"/>
      <c r="F227" s="880"/>
      <c r="G227" s="880"/>
      <c r="H227" s="880"/>
      <c r="I227" s="880"/>
      <c r="J227" s="880"/>
      <c r="K227" s="880"/>
      <c r="L227" s="880"/>
      <c r="M227" s="880"/>
      <c r="P227" s="551"/>
      <c r="Q227" s="8" t="s">
        <v>37</v>
      </c>
      <c r="R227" s="8"/>
      <c r="S227" s="8"/>
      <c r="T227" s="8"/>
      <c r="U227" s="8"/>
      <c r="V227" s="8"/>
      <c r="W227" s="8"/>
      <c r="X227" s="167">
        <f>IF(V224&lt;=0,0,SUM(X222:X226))</f>
        <v>0</v>
      </c>
      <c r="Y227" s="55"/>
      <c r="Z227" s="8"/>
      <c r="AA227" s="8"/>
      <c r="AD227" s="8"/>
      <c r="AE227" s="14" t="str">
        <f>DATOS!Q109</f>
        <v>Min. Inc. A</v>
      </c>
      <c r="AF227" s="15">
        <f>DATOS!$S$109</f>
        <v>2900</v>
      </c>
      <c r="AG227" s="79"/>
      <c r="AH227" s="79"/>
      <c r="AI227" s="79"/>
      <c r="AJ227" s="79"/>
      <c r="AK227" s="83"/>
      <c r="AL227" s="83"/>
      <c r="AM227" s="8"/>
      <c r="AN227" s="8"/>
      <c r="AO227" s="15"/>
      <c r="AP227" s="15"/>
      <c r="AQ227" s="15"/>
      <c r="AR227" s="8"/>
      <c r="AS227" s="8"/>
    </row>
    <row r="228" spans="1:45" hidden="1">
      <c r="A228" s="880"/>
      <c r="B228" s="880"/>
      <c r="C228" s="880"/>
      <c r="D228" s="880"/>
      <c r="E228" s="880"/>
      <c r="F228" s="880"/>
      <c r="G228" s="880"/>
      <c r="H228" s="880"/>
      <c r="I228" s="880"/>
      <c r="J228" s="880"/>
      <c r="K228" s="880"/>
      <c r="L228" s="880"/>
      <c r="M228" s="880"/>
      <c r="P228" s="551"/>
      <c r="Q228" s="8"/>
      <c r="R228" s="8"/>
      <c r="S228" s="8"/>
      <c r="T228" s="8"/>
      <c r="U228" s="8"/>
      <c r="V228" s="8"/>
      <c r="W228" s="8"/>
      <c r="X228" s="15"/>
      <c r="Y228" s="8"/>
      <c r="Z228" s="8"/>
      <c r="AA228" s="8"/>
      <c r="AD228" s="8"/>
      <c r="AE228" s="8"/>
      <c r="AF228" s="8"/>
      <c r="AG228" s="79"/>
      <c r="AH228" s="79"/>
      <c r="AI228" s="79"/>
      <c r="AJ228" s="79"/>
      <c r="AK228" s="83"/>
      <c r="AL228" s="83"/>
      <c r="AM228" s="8"/>
      <c r="AN228" s="8"/>
      <c r="AO228" s="15"/>
      <c r="AP228" s="15"/>
      <c r="AQ228" s="15"/>
      <c r="AR228" s="8"/>
      <c r="AS228" s="8"/>
    </row>
    <row r="229" spans="1:45" hidden="1">
      <c r="A229" s="880"/>
      <c r="B229" s="880"/>
      <c r="C229" s="880"/>
      <c r="D229" s="880"/>
      <c r="E229" s="880"/>
      <c r="F229" s="880"/>
      <c r="G229" s="880"/>
      <c r="H229" s="880"/>
      <c r="I229" s="880"/>
      <c r="J229" s="880"/>
      <c r="K229" s="880"/>
      <c r="L229" s="880"/>
      <c r="M229" s="880"/>
      <c r="P229" s="551"/>
      <c r="Q229" s="9" t="s">
        <v>131</v>
      </c>
      <c r="R229" s="8"/>
      <c r="S229" s="8"/>
      <c r="T229" s="8"/>
      <c r="U229" s="8"/>
      <c r="V229" s="8"/>
      <c r="W229" s="8"/>
      <c r="X229" s="15"/>
      <c r="Y229" s="8"/>
      <c r="Z229" s="8"/>
      <c r="AA229" s="8"/>
      <c r="AD229" s="8"/>
      <c r="AE229" s="8"/>
      <c r="AF229" s="8"/>
      <c r="AG229" s="79"/>
      <c r="AH229" s="79"/>
      <c r="AI229" s="79"/>
      <c r="AJ229" s="83"/>
      <c r="AK229" s="83"/>
      <c r="AL229" s="83"/>
      <c r="AM229" s="8"/>
      <c r="AN229" s="8"/>
      <c r="AO229" s="15"/>
      <c r="AP229" s="15"/>
      <c r="AQ229" s="15"/>
      <c r="AR229" s="8"/>
      <c r="AS229" s="8"/>
    </row>
    <row r="230" spans="1:45" hidden="1">
      <c r="A230" s="880"/>
      <c r="B230" s="880"/>
      <c r="C230" s="880"/>
      <c r="D230" s="880"/>
      <c r="E230" s="880"/>
      <c r="F230" s="880"/>
      <c r="G230" s="880"/>
      <c r="H230" s="880"/>
      <c r="I230" s="880"/>
      <c r="J230" s="880"/>
      <c r="K230" s="880"/>
      <c r="L230" s="880"/>
      <c r="M230" s="880"/>
      <c r="P230" s="551"/>
      <c r="Q230" s="8"/>
      <c r="R230" s="8"/>
      <c r="S230" s="8"/>
      <c r="T230" s="8"/>
      <c r="U230" s="8"/>
      <c r="V230" s="8"/>
      <c r="W230" s="8"/>
      <c r="X230" s="15"/>
      <c r="Y230" s="8"/>
      <c r="Z230" s="8"/>
      <c r="AA230" s="79"/>
      <c r="AB230" s="79"/>
      <c r="AC230" s="8"/>
      <c r="AD230" s="8"/>
      <c r="AE230" s="8"/>
      <c r="AF230" s="8"/>
      <c r="AG230" s="79"/>
      <c r="AH230" s="79"/>
      <c r="AI230" s="79"/>
      <c r="AJ230" s="83" t="s">
        <v>176</v>
      </c>
      <c r="AK230" s="83" t="s">
        <v>177</v>
      </c>
      <c r="AL230" s="83" t="s">
        <v>177</v>
      </c>
      <c r="AM230" s="8"/>
      <c r="AN230" s="15"/>
      <c r="AO230" s="15"/>
      <c r="AP230" s="130"/>
      <c r="AQ230" s="15"/>
      <c r="AR230" s="8"/>
      <c r="AS230" s="8"/>
    </row>
    <row r="231" spans="1:45" hidden="1">
      <c r="A231" s="880"/>
      <c r="B231" s="880"/>
      <c r="C231" s="880"/>
      <c r="D231" s="880"/>
      <c r="E231" s="880"/>
      <c r="F231" s="880"/>
      <c r="G231" s="880"/>
      <c r="H231" s="880"/>
      <c r="I231" s="880"/>
      <c r="J231" s="880"/>
      <c r="K231" s="880"/>
      <c r="L231" s="880"/>
      <c r="M231" s="880"/>
      <c r="P231" s="551"/>
      <c r="Q231" s="8" t="s">
        <v>95</v>
      </c>
      <c r="R231" s="8"/>
      <c r="S231" s="8"/>
      <c r="T231" s="8"/>
      <c r="U231" s="15"/>
      <c r="V231" s="24">
        <f>(DATOS!$F$119-(F112*F116/0.736))</f>
        <v>0</v>
      </c>
      <c r="W231" s="15" t="s">
        <v>39</v>
      </c>
      <c r="X231" s="15"/>
      <c r="Y231" s="8"/>
      <c r="Z231" s="8"/>
      <c r="AA231" s="79"/>
      <c r="AB231" s="79"/>
      <c r="AC231" s="8"/>
      <c r="AD231" s="8"/>
      <c r="AE231" s="8"/>
      <c r="AF231" s="8"/>
      <c r="AG231" s="79"/>
      <c r="AH231" s="79"/>
      <c r="AI231" s="79"/>
      <c r="AJ231" s="83"/>
      <c r="AK231" s="83"/>
      <c r="AL231" s="104">
        <v>0.04</v>
      </c>
      <c r="AM231" s="8"/>
      <c r="AN231" s="15"/>
      <c r="AO231" s="15"/>
      <c r="AP231" s="130"/>
      <c r="AQ231" s="15"/>
      <c r="AR231" s="8"/>
      <c r="AS231" s="8"/>
    </row>
    <row r="232" spans="1:45" hidden="1">
      <c r="A232" s="880"/>
      <c r="B232" s="880"/>
      <c r="C232" s="880"/>
      <c r="D232" s="880"/>
      <c r="E232" s="880"/>
      <c r="F232" s="880"/>
      <c r="G232" s="880"/>
      <c r="H232" s="880"/>
      <c r="I232" s="880"/>
      <c r="J232" s="880"/>
      <c r="K232" s="880"/>
      <c r="L232" s="880"/>
      <c r="M232" s="880"/>
      <c r="P232" s="551"/>
      <c r="Q232" s="79" t="s">
        <v>36</v>
      </c>
      <c r="R232" s="79"/>
      <c r="S232" s="79"/>
      <c r="T232" s="85"/>
      <c r="U232" s="86"/>
      <c r="V232" s="87">
        <f>IF(V231&lt;=0,0,IF(AND(V231&gt;0,V231&lt;=AJ232),V231,IF(AND(V231&gt;AJ232,V231&lt;=AK233),AJ232,IF(AND(V231&gt;AK233,V231&lt;=AK234),AK233,IF(AND(V231&gt;AK234,V231&lt;=AK235),AK234,IF(AND(V231&gt;AJ235,V231&lt;=AK236),AK235,IF(V231&gt;AJ236,AK236)))))))</f>
        <v>0</v>
      </c>
      <c r="W232" s="83" t="s">
        <v>96</v>
      </c>
      <c r="X232" s="165">
        <f>IF(AND(V231&gt;0,V231&lt;=AJ232),V231*0.04,IF(AND(V231&gt;AJ232,V231&lt;=AJ234),AL232,IF(AND(V231&gt;AJ233,V231&lt;=AK234),AL233,IF(AND(V231&gt;AJ234,V231&lt;=AK235),AL234,IF(AND(V231&gt;AJ235,V231&lt;=AK236),AL235,IF(AND(V231&gt;AJ236),AL236,0))))))</f>
        <v>0</v>
      </c>
      <c r="Y232" s="84"/>
      <c r="Z232" s="15"/>
      <c r="AA232" s="79"/>
      <c r="AD232" s="79"/>
      <c r="AE232" s="79"/>
      <c r="AF232" s="79"/>
      <c r="AG232" s="158"/>
      <c r="AH232" s="159" t="s">
        <v>187</v>
      </c>
      <c r="AI232" s="159"/>
      <c r="AJ232" s="83">
        <f>AJ188</f>
        <v>2900000</v>
      </c>
      <c r="AK232" s="15">
        <f>AJ232</f>
        <v>2900000</v>
      </c>
      <c r="AL232" s="15">
        <f>AJ232*0.04</f>
        <v>116000</v>
      </c>
      <c r="AM232" s="79"/>
      <c r="AN232" s="83"/>
      <c r="AO232" s="79"/>
      <c r="AS232" s="79"/>
    </row>
    <row r="233" spans="1:45" hidden="1">
      <c r="E233" s="880"/>
      <c r="F233" s="880"/>
      <c r="H233" s="66"/>
      <c r="P233" s="551"/>
      <c r="Q233" s="8" t="s">
        <v>97</v>
      </c>
      <c r="R233" s="8"/>
      <c r="S233" s="8"/>
      <c r="T233" s="14" t="s">
        <v>56</v>
      </c>
      <c r="U233" s="86">
        <f>IF(AND(V231&gt;0,V231&lt;=AJ231),3.5,IF(AND(V231&gt;AJ231,V231&lt;=AK233),3.5,IF(AND(V231&gt;AK232,V231&lt;=AK234),3,IF(AND(V231&gt;AK233,V231&lt;=AK235),2.5,IF(AND(V231&gt;AK234,V231&lt;=AK235),2,IF(AND(V231&gt;AK235,V231&lt;=AK236),2,IF(AND(V231&gt;AK236),1.5,0)))))))</f>
        <v>0</v>
      </c>
      <c r="V233" s="33">
        <f>IF(V231&gt;=0,V231-V232)</f>
        <v>0</v>
      </c>
      <c r="W233" s="15" t="s">
        <v>96</v>
      </c>
      <c r="X233" s="164">
        <f>(U233/100)*V233</f>
        <v>0</v>
      </c>
      <c r="Y233" s="24"/>
      <c r="Z233" s="8"/>
      <c r="AA233" s="79"/>
      <c r="AE233" s="8"/>
      <c r="AF233" s="8"/>
      <c r="AG233" s="79"/>
      <c r="AH233" s="79"/>
      <c r="AI233" s="79"/>
      <c r="AJ233" s="83">
        <f>AJ189</f>
        <v>11600000</v>
      </c>
      <c r="AK233" s="15">
        <f>AK232+AJ233</f>
        <v>14500000</v>
      </c>
      <c r="AL233" s="15">
        <f>AJ232*0.04+AJ233*0.035</f>
        <v>522000.00000000006</v>
      </c>
      <c r="AM233" s="8"/>
      <c r="AN233" s="15"/>
      <c r="AO233" s="15"/>
      <c r="AS233" s="8"/>
    </row>
    <row r="234" spans="1:45" hidden="1">
      <c r="B234" s="1"/>
      <c r="C234" s="1"/>
      <c r="D234" s="1"/>
      <c r="E234" s="880"/>
      <c r="F234" s="880"/>
      <c r="G234" s="539"/>
      <c r="H234" s="66"/>
      <c r="L234" s="100"/>
      <c r="M234" s="100"/>
      <c r="N234" s="100"/>
      <c r="O234" s="894"/>
      <c r="P234" s="551"/>
      <c r="Q234" s="8"/>
      <c r="R234" s="8"/>
      <c r="S234" s="8"/>
      <c r="T234" s="14"/>
      <c r="U234" s="23"/>
      <c r="V234" s="24"/>
      <c r="W234" s="15"/>
      <c r="X234" s="164"/>
      <c r="Y234" s="24"/>
      <c r="Z234" s="8"/>
      <c r="AA234" s="79"/>
      <c r="AE234" s="8"/>
      <c r="AF234" s="8"/>
      <c r="AG234" s="79"/>
      <c r="AH234" s="79"/>
      <c r="AI234" s="79"/>
      <c r="AJ234" s="83">
        <f>AJ190</f>
        <v>14500000</v>
      </c>
      <c r="AK234" s="15">
        <f>AK233+AJ234</f>
        <v>29000000</v>
      </c>
      <c r="AL234" s="15">
        <f>AJ232*0.04+AJ233*0.035+AJ234*0.03</f>
        <v>957000</v>
      </c>
      <c r="AM234" s="8"/>
      <c r="AN234" s="15"/>
      <c r="AO234" s="15"/>
      <c r="AS234" s="8"/>
    </row>
    <row r="235" spans="1:45" ht="15" hidden="1">
      <c r="G235" s="538"/>
      <c r="H235" s="66"/>
      <c r="P235" s="551"/>
      <c r="Q235" s="8"/>
      <c r="R235" s="8"/>
      <c r="S235" s="8"/>
      <c r="T235" s="14"/>
      <c r="U235" s="23"/>
      <c r="V235" s="13" t="s">
        <v>98</v>
      </c>
      <c r="W235" s="15" t="s">
        <v>96</v>
      </c>
      <c r="X235" s="167">
        <f>X232+X233</f>
        <v>0</v>
      </c>
      <c r="Y235" s="167">
        <f>IF(AD239&gt;=0,(IF(AND(AD239&gt;0,AD239&lt;4),AD240,IF(AND(AD239&gt;3,AD239&lt;7),AD240*2,IF(AND(AD239&gt;6,AD239&lt;=20),AD240*3,IF(AND(AD239&gt;20,AD239&lt;=25),AD240*4,IF(AND(AD239&gt;25,AD239&lt;=30),AD240*5,)))))),X235)</f>
        <v>0</v>
      </c>
      <c r="Z235" s="162">
        <f>IF(AND((F106+F107+F108+F109+F111+F113)&gt;0,X235&lt;AD240),AD240,IF(X235&gt;AD240,X235,0))</f>
        <v>0</v>
      </c>
      <c r="AA235" s="8"/>
      <c r="AG235" s="79"/>
      <c r="AH235" s="79"/>
      <c r="AI235" s="79"/>
      <c r="AJ235" s="83">
        <f>AJ191</f>
        <v>58000000</v>
      </c>
      <c r="AK235" s="15">
        <f>AK234+AJ235</f>
        <v>87000000</v>
      </c>
      <c r="AL235" s="15">
        <f>AJ232*0.04+AJ233*0.035+AJ234*0.03+AJ235*0.025</f>
        <v>2407000</v>
      </c>
      <c r="AM235" s="8"/>
      <c r="AN235" s="15"/>
      <c r="AS235" s="8"/>
    </row>
    <row r="236" spans="1:45" hidden="1">
      <c r="F236" s="44"/>
      <c r="G236" s="538"/>
      <c r="H236" s="66"/>
      <c r="P236" s="551"/>
      <c r="Q236" s="8"/>
      <c r="R236" s="8"/>
      <c r="S236" s="8"/>
      <c r="T236" s="8"/>
      <c r="U236" s="8"/>
      <c r="V236" s="8"/>
      <c r="W236" s="8"/>
      <c r="X236" s="15"/>
      <c r="Y236" s="8"/>
      <c r="Z236" s="8"/>
      <c r="AA236" s="8"/>
      <c r="AG236" s="79"/>
      <c r="AH236" s="79"/>
      <c r="AI236" s="79"/>
      <c r="AJ236" s="83">
        <f>AJ192</f>
        <v>203000000</v>
      </c>
      <c r="AK236" s="15">
        <f>AK235+AJ236</f>
        <v>290000000</v>
      </c>
      <c r="AL236" s="15">
        <f>AJ232*0.04+AJ233*0.035+AJ234*0.03+AJ235*0.025+AJ236*0.02</f>
        <v>6467000</v>
      </c>
      <c r="AM236" s="8"/>
      <c r="AN236" s="15"/>
      <c r="AO236" s="15"/>
      <c r="AP236" s="130"/>
      <c r="AQ236" s="15"/>
      <c r="AR236" s="8"/>
      <c r="AS236" s="8"/>
    </row>
    <row r="237" spans="1:45" hidden="1">
      <c r="G237" s="538"/>
      <c r="H237" s="66"/>
      <c r="P237" s="551"/>
      <c r="Q237" s="8" t="s">
        <v>671</v>
      </c>
      <c r="R237" s="8"/>
      <c r="S237" s="8"/>
      <c r="T237" s="8"/>
      <c r="U237" s="8"/>
      <c r="V237" s="24">
        <f>+F112*F116/0.736</f>
        <v>0</v>
      </c>
      <c r="W237" s="15" t="s">
        <v>39</v>
      </c>
      <c r="X237" s="15"/>
      <c r="Y237" s="8"/>
      <c r="Z237" s="8"/>
      <c r="AA237" s="8"/>
      <c r="AB237" s="79"/>
      <c r="AG237" s="79"/>
      <c r="AH237" s="79"/>
      <c r="AI237" s="79"/>
      <c r="AJ237" s="83"/>
      <c r="AK237" s="15"/>
      <c r="AL237" s="15"/>
      <c r="AM237" s="8"/>
      <c r="AN237" s="15"/>
      <c r="AO237" s="15"/>
      <c r="AP237" s="130"/>
      <c r="AQ237" s="15"/>
      <c r="AR237" s="8"/>
      <c r="AS237" s="8"/>
    </row>
    <row r="238" spans="1:45" ht="13.5" hidden="1" thickBot="1">
      <c r="G238" s="538"/>
      <c r="H238" s="66"/>
      <c r="P238" s="551"/>
      <c r="Q238" s="79" t="s">
        <v>36</v>
      </c>
      <c r="R238" s="8"/>
      <c r="S238" s="8"/>
      <c r="T238" s="8"/>
      <c r="U238" s="8"/>
      <c r="V238" s="87">
        <f>IF(V237&lt;=0,0,IF(AND(V237&gt;0,V237&lt;=AJ232),V237,IF(AND(V237&gt;AJ232,V237&lt;=AK233),AJ232,IF(AND(V237&gt;AK233,V237&lt;=AK234),AK233,IF(AND(V237&gt;AK234,V237&lt;=AK235),AK234,IF(AND(V237&gt;AJ235,V237&lt;=AK236),AK235,IF(V237&gt;AJ236,AK236)))))))</f>
        <v>0</v>
      </c>
      <c r="W238" s="83" t="s">
        <v>96</v>
      </c>
      <c r="X238" s="165">
        <f>IF(AND(V237&gt;0,V237&lt;=AJ232),V237*0.04,IF(AND(V237&gt;AJ232,V237&lt;=AJ234),AL232,IF(AND(V237&gt;AJ233,V237&lt;=AK234),AL233,IF(AND(V237&gt;AJ234,V237&lt;=AK235),AL234,IF(AND(V237&gt;AJ235,V237&lt;=AK236),AL235,IF(AND(V237&gt;AJ236),AL236,0))))))</f>
        <v>0</v>
      </c>
      <c r="Y238" s="84"/>
      <c r="Z238" s="15"/>
      <c r="AA238" s="8"/>
      <c r="AB238" s="79"/>
      <c r="AG238" s="79"/>
      <c r="AH238" s="79"/>
      <c r="AI238" s="79"/>
      <c r="AJ238" s="83"/>
      <c r="AK238" s="15"/>
      <c r="AL238" s="15"/>
      <c r="AM238" s="8"/>
      <c r="AN238" s="15"/>
      <c r="AO238" s="15"/>
      <c r="AP238" s="130"/>
      <c r="AQ238" s="15"/>
      <c r="AR238" s="8"/>
      <c r="AS238" s="8"/>
    </row>
    <row r="239" spans="1:45" hidden="1">
      <c r="G239" s="538"/>
      <c r="H239" s="66"/>
      <c r="P239" s="551"/>
      <c r="Q239" s="8" t="s">
        <v>97</v>
      </c>
      <c r="R239" s="8"/>
      <c r="S239" s="8"/>
      <c r="T239" s="14" t="s">
        <v>56</v>
      </c>
      <c r="U239" s="86">
        <f>IF(AND(V237&gt;0,V231&lt;=AJ231),3.5,IF(AND(V237&gt;AJ231,V237&lt;=AK233),3.5,IF(AND(V237&gt;AK232,V237&lt;=AK234),3,IF(AND(V237&gt;AK233,V237&lt;=AK235),2.5,IF(AND(V237&gt;AK234,V237&lt;=AK235),2,IF(AND(V237&gt;AK235,V237&lt;=AK236),2,IF(AND(V237&gt;AK236),1.5,0)))))))</f>
        <v>0</v>
      </c>
      <c r="V239" s="33">
        <f>IF(V237&gt;=0,V237-V238)</f>
        <v>0</v>
      </c>
      <c r="W239" s="15" t="s">
        <v>96</v>
      </c>
      <c r="X239" s="164">
        <f>(U239/100)*V239</f>
        <v>0</v>
      </c>
      <c r="Y239" s="24"/>
      <c r="Z239" s="8"/>
      <c r="AA239" s="8"/>
      <c r="AB239" s="1179" t="s">
        <v>586</v>
      </c>
      <c r="AC239" s="1180"/>
      <c r="AD239" s="749">
        <f>$F$110</f>
        <v>0</v>
      </c>
      <c r="AE239" s="8"/>
      <c r="AF239" s="8"/>
      <c r="AG239" s="79"/>
      <c r="AH239" s="79"/>
      <c r="AI239" s="79"/>
      <c r="AJ239" s="83"/>
      <c r="AK239" s="15"/>
      <c r="AL239" s="15"/>
      <c r="AM239" s="8"/>
      <c r="AN239" s="15"/>
      <c r="AO239" s="15"/>
      <c r="AP239" s="130"/>
      <c r="AQ239" s="15"/>
      <c r="AR239" s="8"/>
      <c r="AS239" s="8"/>
    </row>
    <row r="240" spans="1:45" hidden="1">
      <c r="G240" s="538"/>
      <c r="H240" s="66"/>
      <c r="P240" s="551"/>
      <c r="Q240" s="8"/>
      <c r="R240" s="8"/>
      <c r="S240" s="8"/>
      <c r="T240" s="8"/>
      <c r="U240" s="8"/>
      <c r="V240" s="24"/>
      <c r="W240" s="15"/>
      <c r="X240" s="164">
        <f>+X238+X239</f>
        <v>0</v>
      </c>
      <c r="Y240" s="24"/>
      <c r="Z240" s="8"/>
      <c r="AA240" s="8"/>
      <c r="AB240" s="1175" t="s">
        <v>587</v>
      </c>
      <c r="AC240" s="1176"/>
      <c r="AD240" s="753">
        <f>+S104</f>
        <v>14500</v>
      </c>
      <c r="AE240" s="8"/>
      <c r="AF240" s="8"/>
      <c r="AG240" s="79"/>
      <c r="AH240" s="79"/>
      <c r="AI240" s="79"/>
      <c r="AJ240" s="83"/>
      <c r="AK240" s="15"/>
      <c r="AL240" s="15"/>
      <c r="AM240" s="8"/>
      <c r="AN240" s="15"/>
      <c r="AO240" s="15"/>
      <c r="AP240" s="130"/>
      <c r="AQ240" s="15"/>
      <c r="AR240" s="8"/>
      <c r="AS240" s="8"/>
    </row>
    <row r="241" spans="2:45" ht="15.75" hidden="1" thickBot="1">
      <c r="H241" s="66"/>
      <c r="P241" s="551"/>
      <c r="Q241" s="8"/>
      <c r="R241" s="8"/>
      <c r="S241" s="8"/>
      <c r="T241" s="8"/>
      <c r="U241" s="8"/>
      <c r="V241" s="13" t="s">
        <v>98</v>
      </c>
      <c r="W241" s="15" t="s">
        <v>96</v>
      </c>
      <c r="X241" s="167">
        <f>IF(F112&lt;=0,0,IF(AND(F112&gt;0,F112&lt;=5),S104,IF(AND(F112&gt;5,F112&lt;=15),(S104*1.5),IF(AND(F112&gt;15,F112&lt;=2000),(X240)))))</f>
        <v>0</v>
      </c>
      <c r="Y241" s="236"/>
      <c r="Z241" s="162"/>
      <c r="AA241" s="8"/>
      <c r="AB241" s="1177" t="s">
        <v>588</v>
      </c>
      <c r="AC241" s="1178"/>
      <c r="AD241" s="754">
        <f>+S105</f>
        <v>20110</v>
      </c>
      <c r="AE241" s="8"/>
      <c r="AF241" s="8"/>
      <c r="AG241" s="79"/>
      <c r="AH241" s="79"/>
      <c r="AI241" s="79"/>
      <c r="AJ241" s="83"/>
      <c r="AK241" s="15"/>
      <c r="AL241" s="15"/>
      <c r="AM241" s="8"/>
      <c r="AN241" s="15"/>
      <c r="AO241" s="15"/>
      <c r="AP241" s="130"/>
      <c r="AQ241" s="15"/>
      <c r="AR241" s="8"/>
      <c r="AS241" s="8"/>
    </row>
    <row r="242" spans="2:45" ht="13.5" hidden="1" thickBot="1">
      <c r="H242" s="66"/>
      <c r="P242" s="551"/>
      <c r="Q242" s="8"/>
      <c r="R242" s="8"/>
      <c r="S242" s="8"/>
      <c r="T242" s="8"/>
      <c r="U242" s="8"/>
      <c r="V242" s="8"/>
      <c r="W242" s="8"/>
      <c r="X242" s="15"/>
      <c r="Y242" s="8"/>
      <c r="Z242" s="8"/>
      <c r="AA242" s="8"/>
      <c r="AB242" s="1173" t="s">
        <v>683</v>
      </c>
      <c r="AC242" s="1174"/>
      <c r="AD242" s="878">
        <f>+E148*0.4</f>
        <v>23200</v>
      </c>
      <c r="AE242" s="8"/>
      <c r="AF242" s="8"/>
      <c r="AG242" s="79"/>
      <c r="AH242" s="79"/>
      <c r="AI242" s="79"/>
      <c r="AJ242" s="79"/>
      <c r="AK242" s="83"/>
      <c r="AL242" s="83"/>
      <c r="AM242" s="8"/>
      <c r="AN242" s="15"/>
      <c r="AO242" s="15"/>
      <c r="AP242" s="130"/>
      <c r="AQ242" s="15"/>
      <c r="AR242" s="8"/>
      <c r="AS242" s="8"/>
    </row>
    <row r="243" spans="2:45" hidden="1">
      <c r="H243" s="66"/>
      <c r="P243" s="551"/>
      <c r="Q243" s="9" t="s">
        <v>258</v>
      </c>
      <c r="R243" s="8"/>
      <c r="S243" s="8"/>
      <c r="T243" s="8"/>
      <c r="U243" s="8"/>
      <c r="V243" s="24"/>
      <c r="W243" s="8"/>
      <c r="X243" s="15"/>
      <c r="Y243" s="165"/>
      <c r="Z243" s="8"/>
      <c r="AA243" s="8"/>
      <c r="AB243" s="8"/>
      <c r="AE243" s="8"/>
      <c r="AF243" s="8"/>
      <c r="AG243" s="79"/>
      <c r="AH243" s="79"/>
      <c r="AI243" s="79"/>
      <c r="AJ243" s="79"/>
      <c r="AK243" s="83"/>
      <c r="AL243" s="83"/>
      <c r="AM243" s="8"/>
      <c r="AN243" s="15"/>
      <c r="AO243" s="15"/>
      <c r="AP243" s="130"/>
      <c r="AQ243" s="15"/>
      <c r="AR243" s="8"/>
      <c r="AS243" s="8"/>
    </row>
    <row r="244" spans="2:45" hidden="1">
      <c r="G244" s="540"/>
      <c r="H244" s="66"/>
      <c r="P244" s="551"/>
      <c r="Q244" s="8"/>
      <c r="R244" s="8"/>
      <c r="S244" s="8"/>
      <c r="T244" s="8"/>
      <c r="U244" s="8"/>
      <c r="V244" s="8"/>
      <c r="W244" s="8"/>
      <c r="X244" s="15"/>
      <c r="Y244" s="8"/>
      <c r="Z244" s="8"/>
      <c r="AA244" s="8"/>
      <c r="AB244" s="244"/>
      <c r="AE244" s="8"/>
      <c r="AF244" s="8"/>
      <c r="AG244" s="79"/>
      <c r="AH244" s="79"/>
      <c r="AI244" s="79"/>
      <c r="AJ244" s="79"/>
      <c r="AK244" s="83"/>
      <c r="AL244" s="83"/>
      <c r="AM244" s="8"/>
      <c r="AN244" s="15"/>
      <c r="AO244" s="15"/>
      <c r="AP244" s="130"/>
      <c r="AQ244" s="15"/>
      <c r="AR244" s="8"/>
      <c r="AS244" s="8"/>
    </row>
    <row r="245" spans="2:45" hidden="1">
      <c r="P245" s="551"/>
      <c r="Q245" s="8" t="s">
        <v>95</v>
      </c>
      <c r="R245" s="8"/>
      <c r="S245" s="8"/>
      <c r="T245" s="8"/>
      <c r="U245" s="15"/>
      <c r="V245" s="24">
        <f>DATOS!$L$110</f>
        <v>0</v>
      </c>
      <c r="W245" s="15" t="s">
        <v>39</v>
      </c>
      <c r="X245" s="15"/>
      <c r="Y245" s="82"/>
      <c r="Z245" s="82"/>
      <c r="AA245" s="82"/>
      <c r="AB245" s="174"/>
      <c r="AC245" s="8"/>
      <c r="AD245" s="8"/>
      <c r="AE245" s="8"/>
      <c r="AF245" s="8"/>
      <c r="AG245" s="79"/>
      <c r="AH245" s="79"/>
      <c r="AI245" s="79"/>
      <c r="AJ245" s="79"/>
      <c r="AK245" s="83"/>
      <c r="AL245" s="83"/>
      <c r="AM245" s="8"/>
      <c r="AN245" s="8"/>
      <c r="AO245" s="15"/>
      <c r="AP245" s="15"/>
      <c r="AQ245" s="15"/>
      <c r="AR245" s="8"/>
      <c r="AS245" s="8"/>
    </row>
    <row r="246" spans="2:45" hidden="1">
      <c r="P246" s="551"/>
      <c r="Q246" s="79" t="s">
        <v>36</v>
      </c>
      <c r="R246" s="79"/>
      <c r="S246" s="79"/>
      <c r="T246" s="85"/>
      <c r="U246" s="86"/>
      <c r="V246" s="87">
        <f>IF(V245&lt;=0,0,IF(AND(V245&gt;0,V245&lt;=AJ232),V245,IF(AND(V245&gt;AJ232,V245&lt;=AK233),AJ232,IF(AND(V245&gt;AK233,V245&lt;=AK234),AK233,IF(AND(V245&gt;AK234,V245&lt;=AK235),AK234,IF(AND(V245&gt;AJ235,V245&lt;=AK236),AK235,IF(V245&gt;AJ236,AK236)))))))</f>
        <v>0</v>
      </c>
      <c r="W246" s="83" t="s">
        <v>96</v>
      </c>
      <c r="X246" s="165">
        <f>IF(AND(V245&gt;0,V245&lt;=AJ232),V245*0.04,IF(AND(V245&gt;AJ232,V245&lt;=AJ234),AL232,IF(AND(V245&gt;AJ233,V245&lt;=AK234),AL233,IF(AND(V245&gt;AJ234,V245&lt;=AK235),AL234,IF(AND(V245&gt;AJ235,V245&lt;=AK236),AL235,IF(AND(V245&gt;AJ236),AL236,0))))))</f>
        <v>0</v>
      </c>
      <c r="Y246" s="84"/>
      <c r="Z246" s="8"/>
      <c r="AA246" s="79"/>
      <c r="AB246" s="165"/>
      <c r="AC246" s="8"/>
      <c r="AD246" s="8"/>
      <c r="AE246" s="82"/>
      <c r="AF246" s="8"/>
      <c r="AG246" s="79"/>
      <c r="AH246" s="79"/>
      <c r="AI246" s="79"/>
      <c r="AJ246" s="79"/>
      <c r="AK246" s="83"/>
      <c r="AL246" s="83"/>
      <c r="AM246" s="8"/>
      <c r="AN246" s="8"/>
      <c r="AO246" s="15"/>
      <c r="AP246" s="15"/>
      <c r="AQ246" s="15"/>
      <c r="AR246" s="8"/>
      <c r="AS246" s="8"/>
    </row>
    <row r="247" spans="2:45" hidden="1">
      <c r="P247" s="551"/>
      <c r="Q247" s="8" t="s">
        <v>97</v>
      </c>
      <c r="R247" s="8"/>
      <c r="S247" s="8"/>
      <c r="T247" s="14" t="s">
        <v>56</v>
      </c>
      <c r="U247" s="86">
        <f>IF(AND(V245&gt;0,V245&lt;=AJ231),3.5,IF(AND(V245&gt;AJ231,V245&lt;=AK233),3.5,IF(AND(V245&gt;AK232,V245&lt;=AK234),3,IF(AND(V245&gt;AK233,V245&lt;=AK235),2.5,IF(AND(V245&gt;AK234,V245&lt;=AK235),2,IF(AND(V245&gt;AK235,V245&lt;=AK236),2,IF(AND(V245&gt;AK236),1.5,0)))))))</f>
        <v>0</v>
      </c>
      <c r="V247" s="33">
        <f>IF(V245&gt;=0,V245-V246)</f>
        <v>0</v>
      </c>
      <c r="W247" s="15" t="s">
        <v>96</v>
      </c>
      <c r="X247" s="164">
        <f>(U247/100)*V247</f>
        <v>0</v>
      </c>
      <c r="Y247" s="24"/>
      <c r="Z247" s="8"/>
      <c r="AA247" s="79"/>
      <c r="AB247" s="79"/>
      <c r="AC247" s="8"/>
      <c r="AD247" s="8"/>
      <c r="AE247" s="82"/>
      <c r="AF247" s="8"/>
      <c r="AG247" s="15"/>
      <c r="AH247" s="15"/>
      <c r="AI247" s="15"/>
      <c r="AJ247" s="8"/>
      <c r="AK247" s="15"/>
      <c r="AL247" s="15"/>
      <c r="AM247" s="8"/>
      <c r="AN247" s="8"/>
      <c r="AO247" s="15"/>
      <c r="AP247" s="15"/>
      <c r="AQ247" s="15"/>
      <c r="AR247" s="8"/>
      <c r="AS247" s="8"/>
    </row>
    <row r="248" spans="2:45" hidden="1">
      <c r="P248" s="551"/>
      <c r="Q248" s="8"/>
      <c r="R248" s="8"/>
      <c r="S248" s="8"/>
      <c r="T248" s="14"/>
      <c r="U248" s="23"/>
      <c r="V248" s="24"/>
      <c r="W248" s="15"/>
      <c r="X248" s="164"/>
      <c r="Y248" s="8"/>
      <c r="Z248" s="8"/>
      <c r="AA248" s="79"/>
      <c r="AB248" s="165"/>
      <c r="AC248" s="8"/>
      <c r="AD248" s="8"/>
      <c r="AE248" s="82"/>
      <c r="AF248" s="8"/>
      <c r="AG248" s="15"/>
      <c r="AH248" s="15"/>
      <c r="AI248" s="15"/>
      <c r="AJ248" s="8"/>
      <c r="AK248" s="15"/>
      <c r="AL248" s="15"/>
      <c r="AM248" s="8"/>
      <c r="AN248" s="8"/>
      <c r="AO248" s="15"/>
      <c r="AP248" s="15"/>
      <c r="AQ248" s="15"/>
      <c r="AR248" s="8"/>
      <c r="AS248" s="8"/>
    </row>
    <row r="249" spans="2:45" ht="15" hidden="1">
      <c r="B249" s="1"/>
      <c r="C249" s="1"/>
      <c r="D249" s="1"/>
      <c r="P249" s="551"/>
      <c r="Q249" s="8"/>
      <c r="R249" s="8"/>
      <c r="S249" s="8"/>
      <c r="T249" s="14"/>
      <c r="U249" s="23"/>
      <c r="V249" s="13" t="s">
        <v>98</v>
      </c>
      <c r="W249" s="15" t="s">
        <v>96</v>
      </c>
      <c r="X249" s="167">
        <f>X246+X247</f>
        <v>0</v>
      </c>
      <c r="Y249" s="235">
        <f>IF(AND(X249&lt;Z249),Z249,X249)</f>
        <v>0</v>
      </c>
      <c r="Z249" s="233">
        <f>IF(DATOS!L110&lt;=0,0,E148*0.4)</f>
        <v>0</v>
      </c>
      <c r="AA249" s="162">
        <f>IF(AND((L110+F119+L125+L103+F98+L98+F79+L79)&gt;0,X249&lt;AD242),AD242,IF(X249&gt;AD242,X249,0))</f>
        <v>23200</v>
      </c>
      <c r="AB249" s="80"/>
      <c r="AC249" s="8"/>
      <c r="AD249" s="8"/>
      <c r="AE249" s="82"/>
      <c r="AF249" s="8"/>
      <c r="AG249" s="79"/>
      <c r="AH249" s="79"/>
      <c r="AI249" s="79"/>
      <c r="AJ249" s="83" t="s">
        <v>176</v>
      </c>
      <c r="AK249" s="83" t="s">
        <v>177</v>
      </c>
      <c r="AL249" s="83" t="s">
        <v>177</v>
      </c>
      <c r="AM249" s="8"/>
      <c r="AN249" s="8"/>
      <c r="AO249" s="15"/>
      <c r="AP249" s="130"/>
      <c r="AQ249" s="15"/>
      <c r="AR249" s="8"/>
      <c r="AS249" s="8"/>
    </row>
    <row r="250" spans="2:45" hidden="1">
      <c r="P250" s="551"/>
      <c r="Q250" s="8"/>
      <c r="R250" s="8"/>
      <c r="S250" s="8"/>
      <c r="T250" s="8"/>
      <c r="U250" s="8"/>
      <c r="V250" s="8"/>
      <c r="W250" s="8"/>
      <c r="X250" s="15"/>
      <c r="Y250" s="8"/>
      <c r="Z250" s="8"/>
      <c r="AA250" s="79"/>
      <c r="AB250" s="80"/>
      <c r="AC250" s="8"/>
      <c r="AD250" s="8"/>
      <c r="AE250" s="82"/>
      <c r="AF250" s="8"/>
      <c r="AG250" s="79"/>
      <c r="AH250" s="79"/>
      <c r="AI250" s="79"/>
      <c r="AJ250" s="83"/>
      <c r="AK250" s="83"/>
      <c r="AL250" s="104">
        <v>0.05</v>
      </c>
      <c r="AM250" s="8"/>
      <c r="AN250" s="8"/>
      <c r="AO250" s="15"/>
      <c r="AP250" s="130"/>
      <c r="AQ250" s="15"/>
      <c r="AR250" s="8"/>
      <c r="AS250" s="8"/>
    </row>
    <row r="251" spans="2:45">
      <c r="F251" s="128"/>
      <c r="P251" s="551"/>
      <c r="Q251" s="8"/>
      <c r="R251" s="8"/>
      <c r="S251" s="8"/>
      <c r="T251" s="8"/>
      <c r="U251" s="8"/>
      <c r="V251" s="8"/>
      <c r="W251" s="8"/>
      <c r="X251" s="15"/>
      <c r="Y251" s="8"/>
      <c r="Z251" s="8"/>
      <c r="AA251" s="79"/>
      <c r="AB251" s="79"/>
      <c r="AC251" s="8"/>
      <c r="AE251" s="82"/>
      <c r="AF251" s="8"/>
      <c r="AG251" s="79"/>
      <c r="AH251" s="79"/>
      <c r="AI251" s="79"/>
      <c r="AJ251" s="208">
        <f>1100000*$S$180</f>
        <v>2900000</v>
      </c>
      <c r="AK251" s="83">
        <f>$AJ$251</f>
        <v>2900000</v>
      </c>
      <c r="AL251" s="15">
        <f>AJ251*0.05</f>
        <v>145000</v>
      </c>
      <c r="AM251" s="8"/>
      <c r="AN251" s="8"/>
      <c r="AO251" s="15"/>
      <c r="AP251" s="130"/>
      <c r="AQ251" s="15"/>
      <c r="AR251" s="8"/>
      <c r="AS251" s="8"/>
    </row>
    <row r="252" spans="2:45">
      <c r="P252" s="551"/>
      <c r="Q252" s="8"/>
      <c r="R252" s="8"/>
      <c r="S252" s="8"/>
      <c r="T252" s="8"/>
      <c r="U252" s="8"/>
      <c r="V252" s="8"/>
      <c r="W252" s="8"/>
      <c r="X252" s="15"/>
      <c r="Y252" s="79"/>
      <c r="Z252" s="8"/>
      <c r="AA252" s="79"/>
      <c r="AB252" s="165"/>
      <c r="AC252" s="8"/>
      <c r="AD252" s="8"/>
      <c r="AE252" s="82"/>
      <c r="AF252" s="8"/>
      <c r="AG252" s="158"/>
      <c r="AH252" s="159" t="s">
        <v>170</v>
      </c>
      <c r="AI252" s="159"/>
      <c r="AJ252" s="208">
        <f>4400000*$S$180</f>
        <v>11600000</v>
      </c>
      <c r="AK252" s="83">
        <f>$AJ$253</f>
        <v>14500000</v>
      </c>
      <c r="AL252" s="15">
        <f>AJ251*0.05+AJ252*0.04</f>
        <v>609000</v>
      </c>
      <c r="AM252" s="8"/>
      <c r="AN252" s="8"/>
      <c r="AO252" s="15"/>
      <c r="AP252" s="130"/>
      <c r="AQ252" s="15"/>
      <c r="AR252" s="8"/>
      <c r="AS252" s="8"/>
    </row>
    <row r="253" spans="2:45">
      <c r="P253" s="551"/>
      <c r="Q253" s="9" t="s">
        <v>139</v>
      </c>
      <c r="R253" s="8"/>
      <c r="S253" s="8"/>
      <c r="T253" s="8"/>
      <c r="U253" s="8"/>
      <c r="V253" s="8"/>
      <c r="W253" s="8"/>
      <c r="X253" s="15"/>
      <c r="Y253" s="8"/>
      <c r="Z253" s="8"/>
      <c r="AA253" s="136"/>
      <c r="AB253" s="8"/>
      <c r="AC253" s="8"/>
      <c r="AD253" s="8"/>
      <c r="AE253" s="82"/>
      <c r="AF253" s="8"/>
      <c r="AG253" s="79"/>
      <c r="AH253" s="79"/>
      <c r="AI253" s="79"/>
      <c r="AJ253" s="208">
        <f>5500000*$S$180</f>
        <v>14500000</v>
      </c>
      <c r="AK253" s="83">
        <f>$AJ$254</f>
        <v>29000000</v>
      </c>
      <c r="AL253" s="15">
        <f>AJ251*0.05+AJ252*0.04+AJ253*0.03</f>
        <v>1044000</v>
      </c>
      <c r="AM253" s="8"/>
      <c r="AN253" s="8"/>
      <c r="AO253" s="15"/>
      <c r="AP253" s="130"/>
      <c r="AQ253" s="15"/>
      <c r="AR253" s="8"/>
      <c r="AS253" s="8"/>
    </row>
    <row r="254" spans="2:45">
      <c r="P254" s="551"/>
      <c r="Q254" s="8"/>
      <c r="R254" s="8"/>
      <c r="S254" s="8"/>
      <c r="T254" s="8"/>
      <c r="U254" s="8"/>
      <c r="V254" s="8"/>
      <c r="W254" s="8"/>
      <c r="X254" s="15"/>
      <c r="Y254" s="8"/>
      <c r="Z254" s="8"/>
      <c r="AA254" s="8"/>
      <c r="AB254" s="8"/>
      <c r="AC254" s="8"/>
      <c r="AD254" s="8"/>
      <c r="AE254" s="82"/>
      <c r="AF254" s="8"/>
      <c r="AG254" s="79"/>
      <c r="AH254" s="79"/>
      <c r="AI254" s="79"/>
      <c r="AJ254" s="208">
        <f>11000000*$S$180</f>
        <v>29000000</v>
      </c>
      <c r="AK254" s="83">
        <f>$AJ$255</f>
        <v>58000000</v>
      </c>
      <c r="AL254" s="15">
        <f>AJ251*0.05+AJ252*0.04+AJ253*0.03+AJ254*0.025</f>
        <v>1769000</v>
      </c>
      <c r="AM254" s="8"/>
      <c r="AN254" s="8"/>
      <c r="AO254" s="15"/>
      <c r="AP254" s="130"/>
      <c r="AQ254" s="15"/>
      <c r="AR254" s="8"/>
      <c r="AS254" s="8"/>
    </row>
    <row r="255" spans="2:45">
      <c r="P255" s="551"/>
      <c r="Q255" s="8" t="s">
        <v>95</v>
      </c>
      <c r="R255" s="8"/>
      <c r="S255" s="8"/>
      <c r="T255" s="8"/>
      <c r="U255" s="15"/>
      <c r="V255" s="24">
        <f>DATOS!$L$125</f>
        <v>0</v>
      </c>
      <c r="W255" s="15" t="s">
        <v>39</v>
      </c>
      <c r="X255" s="15"/>
      <c r="Y255" s="8"/>
      <c r="Z255" s="8"/>
      <c r="AA255" s="8"/>
      <c r="AB255" s="8"/>
      <c r="AC255" s="8"/>
      <c r="AD255" s="8"/>
      <c r="AE255" s="82"/>
      <c r="AF255" s="8"/>
      <c r="AG255" s="79"/>
      <c r="AH255" s="79"/>
      <c r="AI255" s="79"/>
      <c r="AJ255" s="208">
        <f>22000000*$S$180</f>
        <v>58000000</v>
      </c>
      <c r="AK255" s="83">
        <f>$AJ$256</f>
        <v>116000000</v>
      </c>
      <c r="AL255" s="15">
        <f>AJ251*0.05+AJ252*0.04+AJ253*0.03+AJ254*0.025+AJ255*0.02</f>
        <v>2929000</v>
      </c>
      <c r="AM255" s="8"/>
      <c r="AN255" s="8"/>
      <c r="AO255" s="15"/>
      <c r="AP255" s="130"/>
      <c r="AQ255" s="15"/>
      <c r="AR255" s="8"/>
      <c r="AS255" s="8"/>
    </row>
    <row r="256" spans="2:45">
      <c r="P256" s="551"/>
      <c r="Q256" s="8" t="s">
        <v>36</v>
      </c>
      <c r="R256" s="8"/>
      <c r="S256" s="14" t="s">
        <v>56</v>
      </c>
      <c r="T256" s="135">
        <f>IF(AND(V255&gt;0,V255&lt;=AJ251),5,IF(AND(V255&gt;AJ251,V255&lt;=AJ253),5,IF(AND(V255&gt;AJ253,V255&lt;=AJ254),4,IF(AND(V255&gt;AJ254,V255&lt;=AJ255),3,IF(AND(V255&gt;AJ255,V255&lt;=AJ256),2.5,IF(AND(V255&gt;AJ256,V255&lt;=AJ257),2,IF(AND(V255&gt;AJ257),1,0)))))))</f>
        <v>0</v>
      </c>
      <c r="U256" s="23" t="s">
        <v>36</v>
      </c>
      <c r="V256" s="33">
        <f>IF(V255&lt;=0,0,IF(AND(V255&gt;0,V255&lt;=AJ251),V255,IF(AND(V255&gt;AJ251,V255&lt;=AJ253),AJ251,IF(AND(V255&gt;AJ253,V255&lt;=AK253),AJ253,IF(AND(V255&gt;AK253,V255&lt;=AK254),AK253,IF(AND(V255&gt;AK254,V255&lt;=AK255),AK254,IF(V255&gt;AJ255,AK255)))))))</f>
        <v>0</v>
      </c>
      <c r="W256" s="15" t="s">
        <v>96</v>
      </c>
      <c r="X256" s="164">
        <f>IF(AND(V255&gt;0,V255&lt;=AJ251),V255*0.05,IF(AND(V255&gt;AJ251,V255&lt;=AK252),AL251,IF(AND(V255&gt;AK252,V255&lt;=AK253),AL252,IF(AND(V255&gt;AK253,V255&lt;=AK254),AL253,IF(AND(V255&gt;AK254,V255&lt;=AK255),AL254,IF(AND(V255&gt;AK255,V255&lt;=AK256),AL256,IF(AND(V255&gt;AK257),AL257,0)))))))</f>
        <v>0</v>
      </c>
      <c r="Y256" s="24"/>
      <c r="Z256" s="8"/>
      <c r="AA256" s="8"/>
      <c r="AB256" s="8"/>
      <c r="AC256" s="8"/>
      <c r="AD256" s="8"/>
      <c r="AE256" s="82"/>
      <c r="AF256" s="8"/>
      <c r="AG256" s="79"/>
      <c r="AH256" s="79"/>
      <c r="AI256" s="79"/>
      <c r="AJ256" s="208">
        <f>44000000*$S$180</f>
        <v>116000000</v>
      </c>
      <c r="AK256" s="83">
        <f>$AJ$257</f>
        <v>232000000</v>
      </c>
      <c r="AL256" s="15">
        <f>AJ251*0.05+AJ252*0.04+AJ253*0.03+AJ254*0.025+AJ255*0.02+AJ256*0.015</f>
        <v>4669000</v>
      </c>
      <c r="AM256" s="8"/>
      <c r="AN256" s="8"/>
      <c r="AO256" s="15"/>
      <c r="AP256" s="130"/>
      <c r="AQ256" s="15"/>
      <c r="AR256" s="8"/>
      <c r="AS256" s="8"/>
    </row>
    <row r="257" spans="16:45">
      <c r="P257" s="551"/>
      <c r="Q257" s="8" t="s">
        <v>97</v>
      </c>
      <c r="R257" s="8"/>
      <c r="S257" s="8"/>
      <c r="T257" s="14" t="s">
        <v>56</v>
      </c>
      <c r="U257" s="23">
        <f>IF(AND(V255&gt;0,V255&lt;=AJ251),5,IF(AND(V255&gt;AJ251,V255&lt;=AJ253),4,IF(AND(V255&gt;AJ253,V255&lt;=AJ254),3,IF(AND(V255&gt;AJ254,V255&lt;=AJ255),2.5,IF(AND(V255&gt;AJ255,V255&lt;=AJ256),2,IF(AND(V255&gt;AJ256,V255&lt;=AJ257),1.5,IF(AND(V255&gt;AJ257),1,0)))))))</f>
        <v>0</v>
      </c>
      <c r="V257" s="33">
        <f>IF(V255&gt;=0,V255-V256)</f>
        <v>0</v>
      </c>
      <c r="W257" s="15" t="s">
        <v>96</v>
      </c>
      <c r="X257" s="164">
        <f>+(U257/100)*V257</f>
        <v>0</v>
      </c>
      <c r="Y257" s="24"/>
      <c r="Z257" s="8"/>
      <c r="AA257" s="8"/>
      <c r="AB257" s="8"/>
      <c r="AC257" s="8"/>
      <c r="AD257" s="8"/>
      <c r="AE257" s="82"/>
      <c r="AF257" s="8"/>
      <c r="AG257" s="79"/>
      <c r="AH257" s="79"/>
      <c r="AI257" s="79"/>
      <c r="AJ257" s="208">
        <f>88000000*$S$180</f>
        <v>232000000</v>
      </c>
      <c r="AK257" s="83">
        <f>+AJ257+AK256</f>
        <v>464000000</v>
      </c>
      <c r="AL257" s="15">
        <f>AJ251*0.05+AJ252*0.04+AJ253*0.03+AJ254*0.025+AJ255*0.02+AJ256*0.015+AJ257*0.01</f>
        <v>6989000</v>
      </c>
      <c r="AM257" s="8"/>
      <c r="AN257" s="8"/>
      <c r="AO257" s="15"/>
      <c r="AP257" s="15"/>
      <c r="AQ257" s="15"/>
      <c r="AR257" s="8"/>
      <c r="AS257" s="8"/>
    </row>
    <row r="258" spans="16:45">
      <c r="P258" s="551"/>
      <c r="Q258" s="8" t="s">
        <v>97</v>
      </c>
      <c r="R258" s="8"/>
      <c r="S258" s="8"/>
      <c r="T258" s="14" t="s">
        <v>56</v>
      </c>
      <c r="U258" s="23">
        <f>IF(V258&gt;0,0.5,0)</f>
        <v>0</v>
      </c>
      <c r="V258" s="33">
        <f>IF(V257&gt;=AJ257,V255-V257,0)</f>
        <v>0</v>
      </c>
      <c r="W258" s="15"/>
      <c r="X258" s="164">
        <f>IF(V258&gt;0,0.005*V258,0)</f>
        <v>0</v>
      </c>
      <c r="Y258" s="24"/>
      <c r="Z258" s="8"/>
      <c r="AA258" s="8"/>
      <c r="AB258" s="8"/>
      <c r="AC258" s="8"/>
      <c r="AD258" s="8"/>
      <c r="AE258" s="82"/>
      <c r="AF258" s="15"/>
      <c r="AG258" s="15"/>
      <c r="AH258" s="15"/>
      <c r="AI258" s="15"/>
      <c r="AJ258" s="8"/>
      <c r="AK258" s="15"/>
      <c r="AL258" s="15"/>
      <c r="AM258" s="8"/>
      <c r="AN258" s="8"/>
      <c r="AO258" s="15"/>
      <c r="AP258" s="15"/>
      <c r="AQ258" s="15"/>
      <c r="AR258" s="8"/>
      <c r="AS258" s="8"/>
    </row>
    <row r="259" spans="16:45" ht="15">
      <c r="Q259" s="8"/>
      <c r="R259" s="8"/>
      <c r="S259" s="8"/>
      <c r="T259" s="14"/>
      <c r="U259" s="23"/>
      <c r="V259" s="13" t="s">
        <v>98</v>
      </c>
      <c r="W259" s="15" t="s">
        <v>96</v>
      </c>
      <c r="X259" s="167">
        <f>+X256+X257+X258</f>
        <v>0</v>
      </c>
      <c r="Y259" s="235"/>
      <c r="Z259" s="165"/>
      <c r="AA259" s="8"/>
      <c r="AB259" s="33"/>
      <c r="AC259" s="8"/>
      <c r="AD259" s="8"/>
      <c r="AE259" s="82"/>
      <c r="AF259" s="15"/>
      <c r="AG259" s="79"/>
      <c r="AH259" s="79"/>
      <c r="AI259" s="79"/>
      <c r="AJ259" s="83"/>
      <c r="AK259" s="83"/>
      <c r="AL259" s="83"/>
      <c r="AM259" s="8"/>
      <c r="AN259" s="8"/>
      <c r="AO259" s="15"/>
      <c r="AP259" s="15"/>
      <c r="AQ259" s="15"/>
      <c r="AR259" s="8"/>
      <c r="AS259" s="8"/>
    </row>
    <row r="260" spans="16:45">
      <c r="Q260" s="8"/>
      <c r="R260" s="8"/>
      <c r="S260" s="8"/>
      <c r="T260" s="8"/>
      <c r="U260" s="8"/>
      <c r="V260" s="8"/>
      <c r="W260" s="8"/>
      <c r="X260" s="15"/>
      <c r="Y260" s="8"/>
      <c r="Z260" s="8"/>
      <c r="AA260" s="8"/>
      <c r="AB260" s="8"/>
      <c r="AC260" s="8"/>
      <c r="AD260" s="8"/>
      <c r="AE260" s="82"/>
      <c r="AF260" s="15"/>
      <c r="AG260" s="15"/>
      <c r="AH260" s="15"/>
      <c r="AI260" s="15"/>
      <c r="AJ260" s="8"/>
      <c r="AK260" s="15"/>
      <c r="AL260" s="15"/>
      <c r="AM260" s="8"/>
      <c r="AN260" s="8"/>
      <c r="AO260" s="15"/>
      <c r="AP260" s="15"/>
      <c r="AQ260" s="15"/>
      <c r="AR260" s="8"/>
      <c r="AS260" s="8"/>
    </row>
    <row r="261" spans="16:45">
      <c r="Q261" s="8"/>
      <c r="R261" s="8"/>
      <c r="S261" s="8"/>
      <c r="T261" s="8"/>
      <c r="U261" s="8"/>
      <c r="V261" s="8"/>
      <c r="W261" s="8"/>
      <c r="X261" s="15"/>
      <c r="Y261" s="8"/>
      <c r="Z261" s="8"/>
      <c r="AA261" s="8"/>
      <c r="AB261" s="8"/>
      <c r="AC261" s="8"/>
      <c r="AD261" s="8"/>
      <c r="AE261" s="82"/>
      <c r="AF261" s="15"/>
      <c r="AG261" s="15"/>
      <c r="AH261" s="15"/>
      <c r="AI261" s="15"/>
      <c r="AJ261" s="8"/>
      <c r="AK261" s="15"/>
      <c r="AL261" s="15"/>
      <c r="AM261" s="8"/>
      <c r="AN261" s="8"/>
      <c r="AO261" s="15"/>
      <c r="AP261" s="15"/>
      <c r="AQ261" s="15"/>
      <c r="AR261" s="8"/>
      <c r="AS261" s="8"/>
    </row>
    <row r="262" spans="16:45">
      <c r="Q262" s="9" t="s">
        <v>155</v>
      </c>
      <c r="R262" s="8"/>
      <c r="S262" s="8"/>
      <c r="T262" s="8"/>
      <c r="U262" s="8"/>
      <c r="V262" s="8"/>
      <c r="W262" s="8"/>
      <c r="X262" s="15"/>
      <c r="Y262" s="8"/>
      <c r="Z262" s="8"/>
      <c r="AA262" s="8"/>
      <c r="AB262" s="8"/>
      <c r="AC262" s="8"/>
      <c r="AD262" s="8"/>
      <c r="AK262" s="15"/>
      <c r="AL262" s="15"/>
      <c r="AM262" s="8"/>
      <c r="AN262" s="8"/>
      <c r="AO262" s="15"/>
      <c r="AP262" s="15"/>
      <c r="AQ262" s="15"/>
      <c r="AR262" s="8"/>
      <c r="AS262" s="8"/>
    </row>
    <row r="263" spans="16:45">
      <c r="Q263" s="8"/>
      <c r="R263" s="8"/>
      <c r="S263" s="8"/>
      <c r="T263" s="8"/>
      <c r="U263" s="8"/>
      <c r="V263" s="8" t="s">
        <v>166</v>
      </c>
      <c r="W263" s="8"/>
      <c r="X263" s="806">
        <f>DATOS!$K$130</f>
        <v>0</v>
      </c>
      <c r="Y263" s="101"/>
      <c r="Z263" s="8"/>
      <c r="AA263" s="8"/>
      <c r="AB263" s="8"/>
      <c r="AC263" s="8"/>
      <c r="AD263" s="8"/>
      <c r="AK263" s="15"/>
      <c r="AL263" s="15"/>
      <c r="AM263" s="8"/>
      <c r="AN263" s="8"/>
      <c r="AO263" s="15"/>
      <c r="AP263" s="15"/>
      <c r="AQ263" s="15"/>
      <c r="AR263" s="8"/>
      <c r="AS263" s="8"/>
    </row>
    <row r="264" spans="16:45">
      <c r="Q264" s="8"/>
      <c r="R264" s="8"/>
      <c r="S264" s="8"/>
      <c r="T264" s="8"/>
      <c r="U264" s="8"/>
      <c r="V264" s="8"/>
      <c r="W264" s="8"/>
      <c r="X264" s="241"/>
      <c r="Y264" s="8"/>
      <c r="Z264" s="8"/>
      <c r="AA264" s="8"/>
      <c r="AB264" s="8"/>
      <c r="AC264" s="8"/>
      <c r="AD264" s="8"/>
      <c r="AK264" s="15"/>
      <c r="AL264" s="15"/>
      <c r="AM264" s="8"/>
      <c r="AN264" s="8"/>
      <c r="AO264" s="15"/>
      <c r="AP264" s="15"/>
      <c r="AQ264" s="15"/>
      <c r="AR264" s="8"/>
      <c r="AS264" s="8"/>
    </row>
    <row r="265" spans="16:45">
      <c r="Q265" s="8"/>
      <c r="R265" s="8"/>
      <c r="S265" s="8"/>
      <c r="T265" s="8"/>
      <c r="U265" s="8"/>
      <c r="V265" s="8" t="s">
        <v>165</v>
      </c>
      <c r="W265" s="8"/>
      <c r="X265" s="807">
        <f>DATOS!$K$131</f>
        <v>0</v>
      </c>
      <c r="Y265" s="103"/>
      <c r="Z265" s="8"/>
      <c r="AA265" s="8"/>
      <c r="AB265" s="8"/>
      <c r="AC265" s="8"/>
      <c r="AD265" s="8"/>
      <c r="AK265" s="15"/>
      <c r="AL265" s="15"/>
      <c r="AM265" s="8"/>
      <c r="AN265" s="8"/>
      <c r="AO265" s="15"/>
      <c r="AP265" s="15"/>
      <c r="AQ265" s="15"/>
      <c r="AR265" s="8"/>
      <c r="AS265" s="8"/>
    </row>
    <row r="266" spans="16:45">
      <c r="Q266" s="8"/>
      <c r="R266" s="8"/>
      <c r="S266" s="8"/>
      <c r="T266" s="8"/>
      <c r="U266" s="8"/>
      <c r="V266" s="8"/>
      <c r="W266" s="8"/>
      <c r="X266" s="241"/>
      <c r="Y266" s="8"/>
      <c r="Z266" s="8"/>
      <c r="AA266" s="8"/>
      <c r="AB266" s="8"/>
      <c r="AC266" s="8"/>
      <c r="AD266" s="8"/>
      <c r="AK266" s="15"/>
      <c r="AL266" s="15"/>
      <c r="AM266" s="8"/>
      <c r="AN266" s="8"/>
      <c r="AO266" s="15"/>
      <c r="AP266" s="15"/>
      <c r="AQ266" s="15"/>
      <c r="AR266" s="8"/>
      <c r="AS266" s="8"/>
    </row>
    <row r="267" spans="16:45">
      <c r="Q267" s="8"/>
      <c r="R267" s="8"/>
      <c r="S267" s="8"/>
      <c r="T267" s="8"/>
      <c r="U267" s="8"/>
      <c r="V267" s="8" t="s">
        <v>164</v>
      </c>
      <c r="W267" s="8"/>
      <c r="X267" s="807">
        <f>DATOS!$K$132</f>
        <v>0</v>
      </c>
      <c r="Y267" s="103"/>
      <c r="Z267" s="8"/>
      <c r="AA267" s="8"/>
      <c r="AB267" s="8"/>
      <c r="AC267" s="8"/>
      <c r="AD267" s="8"/>
      <c r="AK267" s="15"/>
      <c r="AL267" s="15"/>
      <c r="AM267" s="8"/>
      <c r="AN267" s="8"/>
      <c r="AO267" s="15"/>
      <c r="AP267" s="15"/>
      <c r="AQ267" s="15"/>
      <c r="AR267" s="8"/>
      <c r="AS267" s="8"/>
    </row>
    <row r="268" spans="16:45">
      <c r="Q268" s="8"/>
      <c r="R268" s="8"/>
      <c r="S268" s="8"/>
      <c r="T268" s="8"/>
      <c r="U268" s="8"/>
      <c r="V268" s="8"/>
      <c r="W268" s="8"/>
      <c r="X268" s="165"/>
      <c r="Y268" s="78"/>
      <c r="Z268" s="8"/>
      <c r="AK268" s="15"/>
      <c r="AL268" s="15"/>
      <c r="AM268" s="8"/>
      <c r="AN268" s="8"/>
      <c r="AO268" s="15"/>
      <c r="AP268" s="15"/>
      <c r="AQ268" s="15"/>
      <c r="AR268" s="8"/>
      <c r="AS268" s="8"/>
    </row>
    <row r="269" spans="16:45">
      <c r="Q269" s="8"/>
      <c r="R269" s="8"/>
      <c r="S269" s="8"/>
      <c r="T269" s="8"/>
      <c r="U269" s="8"/>
      <c r="V269" s="8" t="s">
        <v>186</v>
      </c>
      <c r="W269" s="8"/>
      <c r="X269" s="807">
        <f>DATOS!$K$133</f>
        <v>0</v>
      </c>
      <c r="Y269" s="157"/>
      <c r="Z269" s="8"/>
      <c r="AK269" s="15"/>
      <c r="AL269" s="15"/>
      <c r="AM269" s="8"/>
      <c r="AN269" s="8"/>
      <c r="AO269" s="15"/>
      <c r="AP269" s="15"/>
      <c r="AQ269" s="15"/>
      <c r="AR269" s="8"/>
      <c r="AS269" s="8"/>
    </row>
    <row r="270" spans="16:45">
      <c r="Q270" s="8"/>
      <c r="R270" s="8"/>
      <c r="S270" s="8"/>
      <c r="T270" s="8"/>
      <c r="U270" s="8"/>
      <c r="Z270" s="8"/>
      <c r="AK270" s="15"/>
      <c r="AL270" s="15"/>
      <c r="AM270" s="8"/>
      <c r="AN270" s="8"/>
      <c r="AO270" s="15"/>
      <c r="AP270" s="15"/>
      <c r="AQ270" s="15"/>
      <c r="AR270" s="8"/>
      <c r="AS270" s="8"/>
    </row>
    <row r="271" spans="16:45">
      <c r="V271" s="4" t="s">
        <v>635</v>
      </c>
      <c r="X271" s="807">
        <f>DATOS!$K$134</f>
        <v>0</v>
      </c>
      <c r="Z271" s="8"/>
      <c r="AE271" s="82"/>
      <c r="AF271" s="15"/>
      <c r="AG271" s="15"/>
      <c r="AH271" s="15"/>
      <c r="AI271" s="15"/>
      <c r="AJ271" s="8"/>
      <c r="AK271" s="15"/>
      <c r="AL271" s="15"/>
      <c r="AM271" s="8"/>
      <c r="AN271" s="8"/>
      <c r="AO271" s="15"/>
      <c r="AP271" s="15"/>
      <c r="AQ271" s="15"/>
      <c r="AR271" s="8"/>
      <c r="AS271" s="8"/>
    </row>
    <row r="272" spans="16:45">
      <c r="Z272" s="8"/>
      <c r="AE272" s="82"/>
      <c r="AF272" s="15"/>
      <c r="AG272" s="15"/>
      <c r="AH272" s="15"/>
      <c r="AI272" s="15"/>
      <c r="AJ272" s="8"/>
      <c r="AK272" s="15"/>
      <c r="AL272" s="243"/>
      <c r="AM272" s="8"/>
      <c r="AN272" s="8"/>
      <c r="AO272" s="15"/>
      <c r="AP272" s="15"/>
      <c r="AQ272" s="15"/>
      <c r="AR272" s="8"/>
      <c r="AS272" s="8"/>
    </row>
    <row r="273" spans="17:45" ht="15">
      <c r="V273" s="13" t="s">
        <v>637</v>
      </c>
      <c r="W273" s="8"/>
      <c r="X273" s="167">
        <f>+X263+X265+X267+X269+X271</f>
        <v>0</v>
      </c>
      <c r="Y273" s="157"/>
      <c r="Z273" s="8"/>
      <c r="AE273" s="82"/>
      <c r="AF273" s="15"/>
      <c r="AG273" s="15"/>
      <c r="AH273" s="15"/>
      <c r="AI273" s="15"/>
      <c r="AJ273" s="8"/>
      <c r="AK273" s="15"/>
      <c r="AL273" s="15"/>
      <c r="AM273" s="8"/>
      <c r="AN273" s="8"/>
      <c r="AO273" s="15"/>
      <c r="AP273" s="15"/>
      <c r="AQ273" s="15"/>
      <c r="AR273" s="8"/>
      <c r="AS273" s="8"/>
    </row>
    <row r="274" spans="17:45">
      <c r="Z274" s="8"/>
      <c r="AE274" s="82"/>
      <c r="AF274" s="15"/>
      <c r="AG274" s="15"/>
      <c r="AH274" s="15"/>
      <c r="AI274" s="15"/>
      <c r="AJ274" s="8"/>
      <c r="AK274" s="15"/>
      <c r="AL274" s="15"/>
      <c r="AM274" s="8"/>
      <c r="AN274" s="8"/>
      <c r="AO274" s="15"/>
      <c r="AP274" s="15"/>
      <c r="AQ274" s="15"/>
      <c r="AR274" s="8"/>
      <c r="AS274" s="8"/>
    </row>
    <row r="275" spans="17:45">
      <c r="Z275" s="8"/>
      <c r="AE275" s="82"/>
      <c r="AF275" s="15"/>
      <c r="AG275" s="15"/>
      <c r="AH275" s="15"/>
      <c r="AI275" s="15"/>
      <c r="AJ275" s="8"/>
      <c r="AK275" s="15"/>
      <c r="AL275" s="15"/>
      <c r="AM275" s="8"/>
      <c r="AN275" s="8"/>
      <c r="AO275" s="15"/>
      <c r="AP275" s="15"/>
      <c r="AQ275" s="15"/>
      <c r="AR275" s="8"/>
      <c r="AS275" s="8"/>
    </row>
    <row r="276" spans="17:45" ht="15.75">
      <c r="Q276" s="4" t="s">
        <v>638</v>
      </c>
      <c r="V276" s="13" t="s">
        <v>636</v>
      </c>
      <c r="X276" s="808">
        <f>$L$103</f>
        <v>0</v>
      </c>
      <c r="Z276" s="8"/>
      <c r="AE276" s="82"/>
      <c r="AF276" s="15"/>
      <c r="AG276" s="15"/>
      <c r="AH276" s="15"/>
      <c r="AI276" s="15"/>
      <c r="AJ276" s="8"/>
      <c r="AK276" s="15"/>
      <c r="AL276" s="15"/>
      <c r="AM276" s="8"/>
      <c r="AN276" s="8"/>
      <c r="AO276" s="15"/>
      <c r="AP276" s="15"/>
      <c r="AQ276" s="15"/>
      <c r="AR276" s="8"/>
      <c r="AS276" s="8"/>
    </row>
    <row r="277" spans="17:45">
      <c r="Q277" s="8"/>
      <c r="R277" s="8"/>
      <c r="S277" s="8"/>
      <c r="T277" s="8"/>
      <c r="U277" s="8"/>
      <c r="V277" s="8"/>
      <c r="W277" s="8"/>
      <c r="X277" s="15"/>
      <c r="Y277" s="8"/>
      <c r="Z277" s="8"/>
      <c r="AA277" s="8"/>
      <c r="AB277" s="8"/>
      <c r="AC277" s="8"/>
      <c r="AD277" s="8"/>
      <c r="AE277" s="82"/>
      <c r="AF277" s="15"/>
      <c r="AG277" s="15"/>
      <c r="AH277" s="15"/>
      <c r="AI277" s="15"/>
      <c r="AJ277" s="8"/>
      <c r="AK277" s="15"/>
      <c r="AL277" s="15"/>
      <c r="AM277" s="8"/>
      <c r="AN277" s="8"/>
      <c r="AO277" s="15"/>
      <c r="AP277" s="15"/>
      <c r="AQ277" s="15"/>
      <c r="AR277" s="8"/>
      <c r="AS277" s="8"/>
    </row>
    <row r="278" spans="17:45">
      <c r="Q278" s="8"/>
      <c r="R278" s="8"/>
      <c r="S278" s="8"/>
      <c r="T278" s="8"/>
      <c r="U278" s="8"/>
      <c r="V278" s="8"/>
      <c r="W278" s="8"/>
      <c r="X278" s="15"/>
      <c r="Y278" s="8"/>
      <c r="Z278" s="8"/>
      <c r="AA278" s="191">
        <f>IF(AND(V188&gt;0,V188&lt;=AK188),6,IF(AND(V188&gt;AK188,V188&lt;=AK189),5.5,IF(AND(V188&gt;AJ189,V188&lt;=AK190),5,IF(AND(V188&gt;AJ190,V188&lt;=AK191),4.5,IF(AND(V188&gt;AJ191,V188&lt;=AK192),4,IF(AND(V188&gt;AK192),3.5,0))))))</f>
        <v>0</v>
      </c>
      <c r="AB278" s="106"/>
      <c r="AC278" s="8"/>
      <c r="AD278" s="8"/>
      <c r="AE278" s="82"/>
      <c r="AF278" s="15"/>
      <c r="AG278" s="15"/>
      <c r="AH278" s="15"/>
      <c r="AI278" s="15"/>
      <c r="AJ278" s="8"/>
      <c r="AK278" s="15"/>
      <c r="AL278" s="15"/>
      <c r="AM278" s="8"/>
      <c r="AN278" s="8"/>
      <c r="AO278" s="15"/>
      <c r="AP278" s="15"/>
      <c r="AQ278" s="15"/>
      <c r="AR278" s="8"/>
      <c r="AS278" s="8"/>
    </row>
    <row r="279" spans="17:45">
      <c r="Q279" s="8"/>
      <c r="R279" s="8"/>
      <c r="S279" s="8"/>
      <c r="T279" s="8"/>
      <c r="U279" s="8"/>
      <c r="V279" s="8"/>
      <c r="W279" s="8"/>
      <c r="X279" s="15"/>
      <c r="Y279" s="8"/>
      <c r="Z279" s="8"/>
      <c r="AA279" s="8"/>
      <c r="AB279" s="8"/>
      <c r="AC279" s="8"/>
      <c r="AD279" s="8"/>
      <c r="AE279" s="82"/>
      <c r="AF279" s="15"/>
      <c r="AG279" s="15"/>
      <c r="AH279" s="15"/>
      <c r="AI279" s="15"/>
      <c r="AJ279" s="8"/>
      <c r="AK279" s="15"/>
      <c r="AL279" s="15"/>
      <c r="AM279" s="8"/>
      <c r="AN279" s="8"/>
      <c r="AO279" s="15"/>
      <c r="AP279" s="15"/>
      <c r="AQ279" s="15"/>
      <c r="AR279" s="8"/>
      <c r="AS279" s="8"/>
    </row>
    <row r="280" spans="17:45">
      <c r="Q280" s="20" t="s">
        <v>107</v>
      </c>
      <c r="R280" s="37"/>
      <c r="S280" s="37"/>
      <c r="T280" s="21"/>
      <c r="U280" s="21"/>
      <c r="V280" s="21"/>
      <c r="W280" s="21"/>
      <c r="X280" s="152"/>
      <c r="Y280" s="57"/>
      <c r="Z280" s="8"/>
      <c r="AA280" s="8"/>
      <c r="AB280" s="8"/>
      <c r="AC280" s="8"/>
      <c r="AD280" s="8"/>
      <c r="AE280" s="82"/>
      <c r="AF280" s="15"/>
      <c r="AG280" s="15"/>
      <c r="AH280" s="15"/>
      <c r="AI280" s="15"/>
      <c r="AJ280" s="8"/>
      <c r="AK280" s="15"/>
      <c r="AL280" s="15"/>
      <c r="AM280" s="8"/>
      <c r="AN280" s="8"/>
      <c r="AO280" s="15"/>
      <c r="AP280" s="15"/>
      <c r="AQ280" s="15"/>
      <c r="AR280" s="8"/>
      <c r="AS280" s="8"/>
    </row>
    <row r="281" spans="17:45">
      <c r="Q281" s="19" t="s">
        <v>108</v>
      </c>
      <c r="R281" s="56"/>
      <c r="S281" s="56"/>
      <c r="T281" s="57"/>
      <c r="U281" s="57"/>
      <c r="V281" s="57"/>
      <c r="W281" s="57"/>
      <c r="X281" s="168"/>
      <c r="Y281" s="57"/>
      <c r="Z281" s="8"/>
      <c r="AA281" s="8"/>
      <c r="AB281" s="8"/>
      <c r="AC281" s="8"/>
      <c r="AD281" s="8"/>
      <c r="AE281" s="8"/>
      <c r="AF281" s="15"/>
      <c r="AG281" s="67"/>
      <c r="AH281" s="15"/>
      <c r="AI281" s="15"/>
      <c r="AJ281" s="8"/>
      <c r="AK281" s="15"/>
      <c r="AL281" s="15"/>
      <c r="AM281" s="8"/>
      <c r="AN281" s="8"/>
      <c r="AO281" s="15"/>
      <c r="AP281" s="15"/>
      <c r="AQ281" s="15"/>
      <c r="AR281" s="8"/>
      <c r="AS281" s="8"/>
    </row>
    <row r="282" spans="17:45" ht="15">
      <c r="Q282" s="22"/>
      <c r="R282" s="57"/>
      <c r="S282" s="57"/>
      <c r="T282" s="57"/>
      <c r="U282" s="57"/>
      <c r="V282" s="57"/>
      <c r="W282" s="57"/>
      <c r="X282" s="168"/>
      <c r="Y282" s="57"/>
      <c r="Z282" s="8"/>
      <c r="AA282" s="146" t="s">
        <v>173</v>
      </c>
      <c r="AB282" s="147">
        <f>DATOS!$L$146</f>
        <v>0</v>
      </c>
      <c r="AC282" s="8"/>
      <c r="AD282" s="8"/>
      <c r="AE282" s="8"/>
      <c r="AF282" s="15"/>
      <c r="AG282" s="15"/>
      <c r="AH282" s="15"/>
      <c r="AI282" s="15"/>
      <c r="AJ282" s="8"/>
      <c r="AK282" s="15"/>
      <c r="AL282" s="15"/>
      <c r="AM282" s="8"/>
      <c r="AN282" s="8"/>
      <c r="AO282" s="15"/>
      <c r="AP282" s="15"/>
      <c r="AQ282" s="15"/>
      <c r="AR282" s="8"/>
      <c r="AS282" s="8"/>
    </row>
    <row r="283" spans="17:45">
      <c r="Q283" s="22" t="s">
        <v>94</v>
      </c>
      <c r="R283" s="57"/>
      <c r="S283" s="57"/>
      <c r="T283" s="57"/>
      <c r="U283" s="57"/>
      <c r="V283" s="57"/>
      <c r="W283" s="57"/>
      <c r="X283" s="168"/>
      <c r="Y283" s="57"/>
      <c r="Z283" s="8"/>
      <c r="AA283" s="145">
        <f>IF(AND(V284&gt;0,V284&lt;=AK188),6,IF(AND(V284&gt;AK188,V284&lt;=AK189),5.5,IF(AND(V284&gt;AJ189,V284&lt;=AK190),5,IF(AND(V284&gt;AJ190,V284&lt;=AK191),4.5,IF(AND(V284&gt;AJ191,V284&lt;=AK192),4,IF(AND(V284&gt;AK192),3.5,0))))))</f>
        <v>0</v>
      </c>
      <c r="AB283" s="145">
        <f>IF(AND(V284&gt;0,V284&lt;=AK188),7,IF(AND(V284&gt;AK188,V284&lt;=AK189),6.5,IF(AND(V284&gt;AJ189,V284&lt;=AK190),6,IF(AND(V284&gt;AJ190,V284&lt;=AK191),5.5,IF(AND(V284&gt;AJ191,V284&lt;=AK192),5,IF(AND(V284&gt;AK192),4.5,0))))))</f>
        <v>0</v>
      </c>
      <c r="AC283" s="8"/>
      <c r="AD283" s="8"/>
      <c r="AE283" s="8"/>
      <c r="AF283" s="15"/>
      <c r="AG283" s="15"/>
      <c r="AH283" s="148"/>
      <c r="AI283" s="148"/>
      <c r="AJ283" s="8"/>
      <c r="AK283" s="15"/>
      <c r="AL283" s="15"/>
      <c r="AM283" s="8"/>
      <c r="AN283" s="8"/>
      <c r="AO283" s="15"/>
      <c r="AP283" s="15"/>
      <c r="AQ283" s="15"/>
      <c r="AR283" s="8"/>
      <c r="AS283" s="8"/>
    </row>
    <row r="284" spans="17:45">
      <c r="Q284" s="22" t="s">
        <v>109</v>
      </c>
      <c r="R284" s="57"/>
      <c r="S284" s="57"/>
      <c r="T284" s="57"/>
      <c r="U284" s="59"/>
      <c r="V284" s="67">
        <f>IF(DATOS!F103="si",DATOS!$G$197,0)</f>
        <v>0</v>
      </c>
      <c r="W284" s="57"/>
      <c r="X284" s="168"/>
      <c r="Y284" s="57"/>
      <c r="Z284" s="8"/>
      <c r="AA284" s="8"/>
      <c r="AB284" s="8"/>
      <c r="AC284" s="8"/>
      <c r="AD284" s="8"/>
      <c r="AE284" s="8"/>
      <c r="AF284" s="15"/>
      <c r="AG284" s="15"/>
      <c r="AH284" s="15"/>
      <c r="AI284" s="15"/>
      <c r="AJ284" s="8"/>
      <c r="AK284" s="15"/>
      <c r="AL284" s="15"/>
      <c r="AM284" s="8"/>
      <c r="AN284" s="8"/>
      <c r="AO284" s="15"/>
      <c r="AP284" s="15"/>
      <c r="AQ284" s="15"/>
      <c r="AR284" s="8"/>
      <c r="AS284" s="8"/>
    </row>
    <row r="285" spans="17:45">
      <c r="Q285" s="22" t="s">
        <v>110</v>
      </c>
      <c r="R285" s="57"/>
      <c r="S285" s="57"/>
      <c r="T285" s="57"/>
      <c r="U285" s="68"/>
      <c r="V285" s="106">
        <f>IF(V284&lt;=0,0,IF(AND(V284&gt;0,V284&lt;=AJ188),V284,IF(AND(V284&gt;AJ188,V284&lt;=AJ190),AJ188,IF(AND(V284&gt;AJ190,V284&lt;=AK190),AJ190,IF(AND(V284&gt;AK190,V284&lt;=AK191),AK190,IF(AND(V284&gt;AK191,V284&lt;=AK192),AK191,IF(V284&gt;AJ192,AK192)))))))</f>
        <v>0</v>
      </c>
      <c r="W285" s="59" t="s">
        <v>96</v>
      </c>
      <c r="X285" s="169">
        <f>IF(AB282="5ª",AB285,AA285)</f>
        <v>0</v>
      </c>
      <c r="Y285" s="67"/>
      <c r="Z285" s="8"/>
      <c r="AA285" s="67">
        <f>IF(AND(V284&gt;0,V284&lt;=AK188),V284*0.06,IF(AND(V284&gt;AK188,V284&lt;=AK189),AL188,IF(AND(V284&gt;AK189,V284&lt;=AK190),AL189,IF(AND(V284&gt;AK190,V284&lt;=AK191),AL190,IF(AND(V284&gt;AK191,V284&lt;=AK192),AL191,IF(AND(V284&gt;AK192),AL192,0))))))</f>
        <v>0</v>
      </c>
      <c r="AB285" s="67">
        <f>IF(AND(V284&gt;0,V284&lt;=AK188),V284*0.07,IF(AND(V284&gt;AK188,V284&lt;=AK189),AM188,IF(AND(V284&gt;AK189,V284&lt;=AK190),AM189,IF(AND(V284&gt;AK190,V284&lt;=AK191),AM190,IF(AND(V284&gt;AK191,V284&lt;=AK192),AM191,IF(AND(V284&gt;AK192),AM192,0))))))</f>
        <v>0</v>
      </c>
      <c r="AC285" s="8"/>
      <c r="AD285" s="8"/>
      <c r="AE285" s="174"/>
      <c r="AF285" s="15"/>
      <c r="AG285" s="15"/>
      <c r="AH285" s="15"/>
      <c r="AI285" s="15"/>
      <c r="AJ285" s="8"/>
      <c r="AK285" s="15"/>
      <c r="AL285" s="15"/>
      <c r="AM285" s="8"/>
      <c r="AN285" s="8"/>
      <c r="AO285" s="15"/>
      <c r="AP285" s="15"/>
      <c r="AQ285" s="15"/>
      <c r="AR285" s="8"/>
      <c r="AS285" s="8"/>
    </row>
    <row r="286" spans="17:45">
      <c r="Q286" s="22" t="s">
        <v>111</v>
      </c>
      <c r="R286" s="57"/>
      <c r="S286" s="149" t="s">
        <v>56</v>
      </c>
      <c r="T286" s="150">
        <f>IF(AB282="5ª",AB283,AA283)</f>
        <v>0</v>
      </c>
      <c r="U286" s="57"/>
      <c r="V286" s="106">
        <f>IF(V284&gt;=0,V284-V285)</f>
        <v>0</v>
      </c>
      <c r="W286" s="59" t="s">
        <v>96</v>
      </c>
      <c r="X286" s="169">
        <f>IF(AB282="5ª",AB286,AA286)</f>
        <v>0</v>
      </c>
      <c r="Y286" s="67"/>
      <c r="Z286" s="8"/>
      <c r="AA286" s="67">
        <f>(AA283/100)*V286</f>
        <v>0</v>
      </c>
      <c r="AB286" s="67">
        <f>(AB283/100)*V286</f>
        <v>0</v>
      </c>
      <c r="AC286" s="8"/>
      <c r="AD286" s="8"/>
      <c r="AE286" s="82"/>
      <c r="AF286" s="89"/>
      <c r="AG286" s="89"/>
      <c r="AH286" s="244"/>
      <c r="AI286" s="244"/>
      <c r="AJ286" s="82"/>
      <c r="AK286" s="89"/>
      <c r="AL286" s="15"/>
      <c r="AM286" s="8"/>
      <c r="AN286" s="8"/>
      <c r="AO286" s="15"/>
      <c r="AP286" s="15"/>
      <c r="AQ286" s="15"/>
      <c r="AR286" s="8"/>
      <c r="AS286" s="8"/>
    </row>
    <row r="287" spans="17:45" ht="15">
      <c r="Q287" s="22"/>
      <c r="R287" s="57"/>
      <c r="S287" s="57"/>
      <c r="T287" s="57"/>
      <c r="U287" s="57"/>
      <c r="V287" s="63" t="s">
        <v>112</v>
      </c>
      <c r="W287" s="57"/>
      <c r="X287" s="170">
        <f>IF(AB282="5ª",AB287,AA287)</f>
        <v>0</v>
      </c>
      <c r="Y287" s="74"/>
      <c r="Z287" s="8"/>
      <c r="AA287" s="74">
        <f>SUM(AA285:AA286)</f>
        <v>0</v>
      </c>
      <c r="AB287" s="74">
        <f>SUM(AB285:AB286)</f>
        <v>0</v>
      </c>
      <c r="AC287" s="8"/>
      <c r="AD287" s="8"/>
      <c r="AE287" s="82"/>
      <c r="AF287" s="89"/>
      <c r="AG287" s="89"/>
      <c r="AH287" s="244"/>
      <c r="AI287" s="244"/>
      <c r="AJ287" s="82"/>
      <c r="AK287" s="89"/>
      <c r="AL287" s="15"/>
      <c r="AM287" s="8"/>
      <c r="AN287" s="8"/>
      <c r="AO287" s="15"/>
      <c r="AP287" s="15"/>
      <c r="AQ287" s="15"/>
      <c r="AR287" s="8"/>
      <c r="AS287" s="8"/>
    </row>
    <row r="288" spans="17:45" ht="15">
      <c r="Q288" s="22"/>
      <c r="R288" s="57"/>
      <c r="S288" s="57"/>
      <c r="T288" s="57"/>
      <c r="U288" s="57"/>
      <c r="V288" s="63"/>
      <c r="W288" s="57"/>
      <c r="X288" s="171"/>
      <c r="Y288" s="132"/>
      <c r="Z288" s="8"/>
      <c r="AA288" s="8"/>
      <c r="AB288" s="8"/>
      <c r="AC288" s="8"/>
      <c r="AD288" s="8"/>
      <c r="AE288" s="82"/>
      <c r="AF288" s="89"/>
      <c r="AG288" s="89"/>
      <c r="AH288" s="244"/>
      <c r="AI288" s="244"/>
      <c r="AJ288" s="82"/>
      <c r="AK288" s="89"/>
      <c r="AL288" s="15"/>
      <c r="AM288" s="8"/>
      <c r="AN288" s="8"/>
      <c r="AO288" s="15"/>
      <c r="AP288" s="15"/>
      <c r="AQ288" s="15"/>
      <c r="AR288" s="8"/>
      <c r="AS288" s="8"/>
    </row>
    <row r="289" spans="17:45" ht="15">
      <c r="Q289" s="22" t="s">
        <v>121</v>
      </c>
      <c r="R289" s="57"/>
      <c r="S289" s="57"/>
      <c r="T289" s="57"/>
      <c r="U289" s="57"/>
      <c r="V289" s="63"/>
      <c r="W289" s="57"/>
      <c r="X289" s="171"/>
      <c r="Y289" s="132"/>
      <c r="Z289" s="8"/>
      <c r="AA289" s="8"/>
      <c r="AB289" s="8"/>
      <c r="AC289" s="8"/>
      <c r="AD289" s="8"/>
      <c r="AE289" s="82"/>
      <c r="AF289" s="89"/>
      <c r="AG289" s="89"/>
      <c r="AH289" s="244"/>
      <c r="AI289" s="244"/>
      <c r="AJ289" s="82"/>
      <c r="AK289" s="89"/>
      <c r="AL289" s="15"/>
      <c r="AM289" s="8"/>
      <c r="AN289" s="8"/>
      <c r="AO289" s="15"/>
      <c r="AP289" s="15"/>
      <c r="AQ289" s="15"/>
      <c r="AR289" s="8"/>
      <c r="AS289" s="8"/>
    </row>
    <row r="290" spans="17:45">
      <c r="Q290" s="22" t="s">
        <v>113</v>
      </c>
      <c r="R290" s="57"/>
      <c r="S290" s="57"/>
      <c r="T290" s="57"/>
      <c r="U290" s="57"/>
      <c r="V290" s="57"/>
      <c r="W290" s="59"/>
      <c r="X290" s="161">
        <f>X287/10</f>
        <v>0</v>
      </c>
      <c r="Y290" s="67"/>
      <c r="Z290" s="8"/>
      <c r="AA290" s="8"/>
      <c r="AB290" s="8"/>
      <c r="AC290" s="8"/>
      <c r="AD290" s="8"/>
      <c r="AE290" s="82"/>
      <c r="AF290" s="89"/>
      <c r="AG290" s="89"/>
      <c r="AH290" s="174"/>
      <c r="AI290" s="174"/>
      <c r="AJ290" s="82"/>
      <c r="AK290" s="89"/>
      <c r="AL290" s="15"/>
      <c r="AM290" s="8"/>
      <c r="AN290" s="8"/>
      <c r="AO290" s="15"/>
      <c r="AP290" s="15"/>
      <c r="AQ290" s="15"/>
      <c r="AR290" s="8"/>
      <c r="AS290" s="8"/>
    </row>
    <row r="291" spans="17:45" ht="13.5" thickBot="1">
      <c r="Q291" s="22"/>
      <c r="R291" s="57"/>
      <c r="S291" s="57"/>
      <c r="T291" s="57"/>
      <c r="U291" s="57"/>
      <c r="V291" s="57"/>
      <c r="W291" s="59"/>
      <c r="X291" s="168"/>
      <c r="Y291" s="57"/>
      <c r="Z291" s="8"/>
      <c r="AA291" s="8"/>
      <c r="AB291" s="8"/>
      <c r="AC291" s="8"/>
      <c r="AD291" s="8"/>
      <c r="AE291" s="82"/>
      <c r="AF291" s="89"/>
      <c r="AG291" s="89"/>
      <c r="AH291" s="89"/>
      <c r="AI291" s="89"/>
      <c r="AJ291" s="82"/>
      <c r="AK291" s="89"/>
      <c r="AL291" s="15"/>
      <c r="AM291" s="8"/>
      <c r="AN291" s="8"/>
      <c r="AO291" s="15"/>
      <c r="AP291" s="15"/>
      <c r="AQ291" s="15"/>
      <c r="AR291" s="8"/>
      <c r="AS291" s="8"/>
    </row>
    <row r="292" spans="17:45" ht="13.5" thickBot="1">
      <c r="Q292" s="26" t="s">
        <v>114</v>
      </c>
      <c r="R292" s="27"/>
      <c r="S292" s="27"/>
      <c r="T292" s="27"/>
      <c r="U292" s="27"/>
      <c r="V292" s="27"/>
      <c r="W292" s="36"/>
      <c r="X292" s="172">
        <f>IF(X300&lt;=600,60,X300/10)</f>
        <v>60</v>
      </c>
      <c r="Y292" s="67"/>
      <c r="Z292" s="8"/>
      <c r="AA292" s="1016" t="s">
        <v>188</v>
      </c>
      <c r="AB292" s="1017"/>
      <c r="AC292" s="1017"/>
      <c r="AD292" s="1018"/>
      <c r="AE292" s="82"/>
      <c r="AF292" s="89"/>
      <c r="AG292" s="89"/>
      <c r="AH292" s="89"/>
      <c r="AI292" s="89"/>
      <c r="AJ292" s="82"/>
      <c r="AK292" s="89"/>
      <c r="AL292" s="15"/>
      <c r="AM292" s="8"/>
      <c r="AN292" s="8"/>
      <c r="AO292" s="15"/>
      <c r="AP292" s="15"/>
      <c r="AQ292" s="15"/>
      <c r="AR292" s="8"/>
      <c r="AS292" s="8"/>
    </row>
    <row r="293" spans="17:45">
      <c r="Q293" s="8"/>
      <c r="R293" s="8"/>
      <c r="S293" s="8"/>
      <c r="T293" s="8"/>
      <c r="U293" s="8"/>
      <c r="V293" s="8"/>
      <c r="W293" s="8"/>
      <c r="X293" s="15"/>
      <c r="Y293" s="8"/>
      <c r="Z293" s="8"/>
      <c r="AA293" s="563"/>
      <c r="AB293" s="805">
        <f>IF(X259&lt;DATOS!S104,DATOS!S104,X259)</f>
        <v>14500</v>
      </c>
      <c r="AC293" s="345" t="s">
        <v>583</v>
      </c>
      <c r="AD293" s="339"/>
      <c r="AE293" s="82"/>
      <c r="AF293" s="89"/>
      <c r="AG293" s="89"/>
      <c r="AH293" s="89"/>
      <c r="AI293" s="89"/>
      <c r="AJ293" s="82"/>
      <c r="AK293" s="89"/>
      <c r="AL293" s="15"/>
      <c r="AM293" s="8"/>
      <c r="AN293" s="8"/>
      <c r="AO293" s="15"/>
      <c r="AP293" s="15"/>
      <c r="AQ293" s="15"/>
      <c r="AR293" s="8"/>
      <c r="AS293" s="8"/>
    </row>
    <row r="294" spans="17:45">
      <c r="Q294" s="28" t="s">
        <v>115</v>
      </c>
      <c r="R294" s="21"/>
      <c r="S294" s="21"/>
      <c r="T294" s="21"/>
      <c r="U294" s="38" t="s">
        <v>39</v>
      </c>
      <c r="V294" s="21"/>
      <c r="W294" s="38" t="s">
        <v>96</v>
      </c>
      <c r="X294" s="173">
        <f>+IF(X201&gt;0,X201,X211)+X218+X227+X298+X273+X259+X299+X276</f>
        <v>0</v>
      </c>
      <c r="Y294" s="67"/>
      <c r="Z294" s="8"/>
      <c r="AA294" s="179"/>
      <c r="AB294" s="162">
        <f>+IF(X201&gt;0,X201,X211)</f>
        <v>0</v>
      </c>
      <c r="AC294" s="960" t="s">
        <v>200</v>
      </c>
      <c r="AD294" s="961"/>
      <c r="AE294" s="174"/>
      <c r="AF294" s="89"/>
      <c r="AG294" s="89"/>
      <c r="AH294" s="15"/>
      <c r="AI294" s="15"/>
      <c r="AJ294" s="8"/>
      <c r="AK294" s="15"/>
      <c r="AL294" s="15"/>
      <c r="AM294" s="8"/>
      <c r="AN294" s="8"/>
      <c r="AO294" s="15"/>
      <c r="AP294" s="15"/>
      <c r="AQ294" s="15"/>
      <c r="AR294" s="8"/>
      <c r="AS294" s="8"/>
    </row>
    <row r="295" spans="17:45">
      <c r="Q295" s="22" t="s">
        <v>196</v>
      </c>
      <c r="R295" s="57"/>
      <c r="S295" s="57"/>
      <c r="T295" s="57"/>
      <c r="U295" s="59"/>
      <c r="V295" s="57"/>
      <c r="W295" s="59"/>
      <c r="X295" s="740">
        <f>IF(X218=0,0,AB295)</f>
        <v>0</v>
      </c>
      <c r="Y295" s="8"/>
      <c r="Z295" s="8"/>
      <c r="AA295" s="179"/>
      <c r="AB295" s="162">
        <f>IF((X218+X227)&lt;DATOS!S105,DATOS!S105,X218)</f>
        <v>20110</v>
      </c>
      <c r="AC295" s="960" t="s">
        <v>191</v>
      </c>
      <c r="AD295" s="961"/>
      <c r="AE295" s="82"/>
      <c r="AF295" s="89"/>
      <c r="AG295" s="89"/>
      <c r="AH295" s="15"/>
      <c r="AI295" s="15"/>
      <c r="AJ295" s="8"/>
      <c r="AK295" s="15"/>
      <c r="AL295" s="15"/>
      <c r="AM295" s="8"/>
      <c r="AN295" s="8"/>
      <c r="AO295" s="15"/>
      <c r="AP295" s="15"/>
      <c r="AQ295" s="15"/>
      <c r="AR295" s="8"/>
      <c r="AS295" s="8"/>
    </row>
    <row r="296" spans="17:45">
      <c r="Q296" s="22" t="s">
        <v>584</v>
      </c>
      <c r="R296" s="57"/>
      <c r="S296" s="57"/>
      <c r="T296" s="57"/>
      <c r="U296" s="59"/>
      <c r="V296" s="57"/>
      <c r="W296" s="59"/>
      <c r="X296" s="740">
        <f>IF(X259=0,0,AB293)</f>
        <v>0</v>
      </c>
      <c r="Y296" s="8"/>
      <c r="Z296" s="8"/>
      <c r="AA296" s="179"/>
      <c r="AB296" s="162">
        <f>IF((X218+X227)&lt;DATOS!S105,DATOS!S105,X227)</f>
        <v>20110</v>
      </c>
      <c r="AC296" s="960" t="s">
        <v>192</v>
      </c>
      <c r="AD296" s="961"/>
      <c r="AE296" s="82"/>
      <c r="AF296" s="89"/>
      <c r="AG296" s="89"/>
      <c r="AH296" s="15"/>
      <c r="AI296" s="15"/>
      <c r="AJ296" s="8"/>
      <c r="AK296" s="15"/>
      <c r="AL296" s="15"/>
      <c r="AM296" s="8"/>
      <c r="AN296" s="8"/>
      <c r="AO296" s="15"/>
      <c r="AP296" s="15"/>
      <c r="AQ296" s="15"/>
      <c r="AR296" s="8"/>
      <c r="AS296" s="8"/>
    </row>
    <row r="297" spans="17:45">
      <c r="Q297" s="22" t="s">
        <v>194</v>
      </c>
      <c r="R297" s="57"/>
      <c r="S297" s="57"/>
      <c r="T297" s="57"/>
      <c r="U297" s="59"/>
      <c r="V297" s="57"/>
      <c r="W297" s="59"/>
      <c r="X297" s="740">
        <f>IF(X227=0,0,AB296)</f>
        <v>0</v>
      </c>
      <c r="Y297" s="67"/>
      <c r="Z297" s="8"/>
      <c r="AA297" s="179"/>
      <c r="AB297" s="162">
        <f>+Y235+Z235</f>
        <v>0</v>
      </c>
      <c r="AC297" s="960" t="s">
        <v>193</v>
      </c>
      <c r="AD297" s="961"/>
      <c r="AE297" s="174"/>
      <c r="AF297" s="89"/>
      <c r="AG297" s="89"/>
      <c r="AH297" s="15"/>
      <c r="AI297" s="15"/>
      <c r="AJ297" s="8"/>
      <c r="AK297" s="15"/>
      <c r="AL297" s="15"/>
      <c r="AM297" s="8"/>
      <c r="AN297" s="8"/>
      <c r="AO297" s="15"/>
      <c r="AP297" s="15"/>
      <c r="AQ297" s="15"/>
      <c r="AR297" s="8"/>
      <c r="AS297" s="8"/>
    </row>
    <row r="298" spans="17:45">
      <c r="Q298" s="22" t="s">
        <v>189</v>
      </c>
      <c r="R298" s="57"/>
      <c r="S298" s="57"/>
      <c r="T298" s="57"/>
      <c r="U298" s="59"/>
      <c r="V298" s="57"/>
      <c r="W298" s="59"/>
      <c r="X298" s="740">
        <f>AB297+X241</f>
        <v>0</v>
      </c>
      <c r="Y298" s="60"/>
      <c r="Z298" s="8"/>
      <c r="AA298" s="179"/>
      <c r="AB298" s="62">
        <f>Y249</f>
        <v>0</v>
      </c>
      <c r="AC298" s="1003" t="s">
        <v>264</v>
      </c>
      <c r="AD298" s="996"/>
      <c r="AE298" s="82"/>
      <c r="AF298" s="89"/>
      <c r="AG298" s="89"/>
      <c r="AH298" s="15"/>
      <c r="AI298" s="15"/>
      <c r="AJ298" s="8"/>
      <c r="AK298" s="15"/>
      <c r="AL298" s="15"/>
      <c r="AM298" s="8"/>
      <c r="AN298" s="8"/>
      <c r="AO298" s="15"/>
      <c r="AP298" s="15"/>
      <c r="AQ298" s="15"/>
      <c r="AR298" s="8"/>
      <c r="AS298" s="8"/>
    </row>
    <row r="299" spans="17:45">
      <c r="Q299" s="22" t="s">
        <v>272</v>
      </c>
      <c r="R299" s="57"/>
      <c r="S299" s="57"/>
      <c r="T299" s="57"/>
      <c r="U299" s="59"/>
      <c r="V299" s="57"/>
      <c r="W299" s="59"/>
      <c r="X299" s="741">
        <f>AB298</f>
        <v>0</v>
      </c>
      <c r="Y299" s="857"/>
      <c r="Z299" s="8"/>
      <c r="AA299" s="179"/>
      <c r="AB299" s="175">
        <f>IF((X218+X227)&lt;DATOS!S105,DATOS!S105,X218+X227+AB297+X259+X273+AB294)</f>
        <v>20110</v>
      </c>
      <c r="AC299" s="960" t="s">
        <v>190</v>
      </c>
      <c r="AD299" s="961"/>
      <c r="AE299" s="82"/>
      <c r="AF299" s="89"/>
      <c r="AG299" s="89"/>
      <c r="AH299" s="15"/>
      <c r="AI299" s="15"/>
      <c r="AJ299" s="8"/>
      <c r="AK299" s="15"/>
      <c r="AL299" s="15"/>
      <c r="AM299" s="8"/>
      <c r="AN299" s="8"/>
      <c r="AO299" s="15"/>
      <c r="AP299" s="15"/>
      <c r="AQ299" s="15"/>
      <c r="AR299" s="8"/>
      <c r="AS299" s="8"/>
    </row>
    <row r="300" spans="17:45">
      <c r="Q300" s="19" t="s">
        <v>120</v>
      </c>
      <c r="R300" s="8"/>
      <c r="S300" s="8"/>
      <c r="T300" s="8"/>
      <c r="U300" s="15" t="s">
        <v>39</v>
      </c>
      <c r="V300" s="8"/>
      <c r="W300" s="15" t="s">
        <v>96</v>
      </c>
      <c r="X300" s="741">
        <f>X298+X297+X295+X299+X296+X273+AB300+IF(DATOS!B124="SI",DATOS!F124,0)+IF(DATOS!B125="SI",DATOS!F125,0)+IF(DATOS!B126="SI",DATOS!F126,0)+IF(DATOS!B127="SI",DATOS!F127,0)+IF(DATOS!B128="SI",DATOS!F128,0)+IF(DATOS!B129="SI",DATOS!F129,0)+IF(DATOS!B130="SI",DATOS!F130,0)+IF(DATOS!B131="SI",DATOS!F131,0)+IF(DATOS!B132="SI",DATOS!F132,0)+IF(DATOS!H103="SI",DATOS!L103,0)+IF((R130+R131)=(S104*2),S104,(R130+R131))</f>
        <v>0</v>
      </c>
      <c r="Y300" s="858"/>
      <c r="Z300" s="8"/>
      <c r="AA300" s="179"/>
      <c r="AB300" s="187">
        <f>IF(AB294&lt;=0,0,IF(AND(AB294&gt;0,AB294&lt;DATOS!S104),DATOS!S104,AB294))</f>
        <v>0</v>
      </c>
      <c r="AC300" s="995" t="s">
        <v>195</v>
      </c>
      <c r="AD300" s="996"/>
      <c r="AE300" s="82"/>
      <c r="AF300" s="89"/>
      <c r="AG300" s="89"/>
      <c r="AH300" s="15"/>
      <c r="AI300" s="15"/>
      <c r="AJ300" s="8"/>
      <c r="AK300" s="15"/>
      <c r="AL300" s="15"/>
      <c r="AM300" s="8"/>
      <c r="AN300" s="8"/>
      <c r="AO300" s="15"/>
      <c r="AP300" s="15"/>
      <c r="AQ300" s="15"/>
      <c r="AR300" s="8"/>
      <c r="AS300" s="8"/>
    </row>
    <row r="301" spans="17:45" ht="13.5" thickBot="1">
      <c r="Q301" s="26" t="s">
        <v>44</v>
      </c>
      <c r="R301" s="27"/>
      <c r="S301" s="27"/>
      <c r="T301" s="27" t="s">
        <v>116</v>
      </c>
      <c r="U301" s="36" t="s">
        <v>39</v>
      </c>
      <c r="V301" s="27"/>
      <c r="W301" s="36" t="s">
        <v>96</v>
      </c>
      <c r="X301" s="153"/>
      <c r="Y301" s="859"/>
      <c r="Z301" s="8"/>
      <c r="AA301" s="181"/>
      <c r="AB301" s="182"/>
      <c r="AC301" s="182"/>
      <c r="AD301" s="183"/>
    </row>
    <row r="302" spans="17:45">
      <c r="Q302" s="8"/>
      <c r="R302" s="8"/>
      <c r="S302" s="8"/>
      <c r="T302" s="8"/>
      <c r="U302" s="8"/>
      <c r="V302" s="8"/>
      <c r="W302" s="8"/>
      <c r="X302" s="15"/>
      <c r="Y302" s="858"/>
      <c r="Z302" s="8"/>
      <c r="AA302" s="8"/>
      <c r="AB302" s="8"/>
      <c r="AC302" s="8"/>
      <c r="AD302" s="8"/>
    </row>
    <row r="303" spans="17:45">
      <c r="Q303" s="39" t="s">
        <v>175</v>
      </c>
      <c r="R303" s="40"/>
      <c r="S303" s="40"/>
      <c r="T303" s="40"/>
      <c r="U303" s="40"/>
      <c r="V303" s="31"/>
      <c r="W303" s="30" t="s">
        <v>96</v>
      </c>
      <c r="X303" s="163">
        <f>ROUNDUP(X300,0)</f>
        <v>0</v>
      </c>
      <c r="Y303" s="8"/>
      <c r="Z303" s="8"/>
      <c r="AA303" s="8"/>
      <c r="AB303" s="8"/>
      <c r="AC303" s="8"/>
      <c r="AD303" s="8"/>
    </row>
    <row r="304" spans="17:45">
      <c r="Q304" s="8"/>
      <c r="R304" s="8"/>
      <c r="S304" s="8"/>
      <c r="T304" s="8"/>
      <c r="U304" s="8"/>
      <c r="V304" s="8"/>
      <c r="W304" s="8"/>
      <c r="X304" s="15"/>
      <c r="Y304" s="8"/>
      <c r="Z304" s="8"/>
      <c r="AA304" s="57"/>
      <c r="AB304" s="8"/>
      <c r="AC304" s="8"/>
      <c r="AD304" s="8"/>
    </row>
    <row r="305" spans="17:30">
      <c r="Q305" s="8"/>
      <c r="R305" s="8"/>
      <c r="S305" s="8"/>
      <c r="T305" s="8"/>
      <c r="U305" s="8"/>
      <c r="V305" s="8"/>
      <c r="W305" s="8"/>
      <c r="X305" s="15"/>
      <c r="Y305" s="8"/>
      <c r="Z305" s="8"/>
      <c r="AA305" s="8"/>
      <c r="AB305" s="8"/>
      <c r="AC305" s="8"/>
      <c r="AD305" s="8"/>
    </row>
    <row r="306" spans="17:30">
      <c r="Q306" s="8"/>
      <c r="R306" s="8"/>
      <c r="S306" s="8"/>
      <c r="T306" s="8"/>
      <c r="U306" s="8"/>
      <c r="V306" s="8"/>
      <c r="W306" s="8"/>
      <c r="X306" s="15"/>
      <c r="Y306" s="8"/>
      <c r="Z306" s="8"/>
      <c r="AA306" s="8"/>
      <c r="AB306" s="8"/>
      <c r="AC306" s="8"/>
      <c r="AD306" s="8"/>
    </row>
    <row r="307" spans="17:30">
      <c r="Q307" s="8"/>
      <c r="R307" s="8"/>
      <c r="S307" s="8"/>
      <c r="T307" s="8"/>
      <c r="U307" s="8"/>
      <c r="V307" s="8"/>
      <c r="W307" s="8"/>
      <c r="X307" s="15"/>
    </row>
  </sheetData>
  <sheetProtection sheet="1" objects="1" scenarios="1"/>
  <mergeCells count="321">
    <mergeCell ref="H104:L104"/>
    <mergeCell ref="H119:K119"/>
    <mergeCell ref="H121:K121"/>
    <mergeCell ref="R160:W160"/>
    <mergeCell ref="R148:S148"/>
    <mergeCell ref="R158:W158"/>
    <mergeCell ref="R155:W155"/>
    <mergeCell ref="K135:L135"/>
    <mergeCell ref="AB242:AC242"/>
    <mergeCell ref="AB240:AC240"/>
    <mergeCell ref="AB241:AC241"/>
    <mergeCell ref="AB239:AC239"/>
    <mergeCell ref="H111:K111"/>
    <mergeCell ref="H126:K126"/>
    <mergeCell ref="H117:K117"/>
    <mergeCell ref="H118:K118"/>
    <mergeCell ref="H114:L114"/>
    <mergeCell ref="J138:L138"/>
    <mergeCell ref="J140:L140"/>
    <mergeCell ref="B140:I140"/>
    <mergeCell ref="B138:I138"/>
    <mergeCell ref="H129:L129"/>
    <mergeCell ref="H134:I134"/>
    <mergeCell ref="H131:I131"/>
    <mergeCell ref="F133:F134"/>
    <mergeCell ref="H124:K124"/>
    <mergeCell ref="J142:L142"/>
    <mergeCell ref="E142:I142"/>
    <mergeCell ref="B105:F105"/>
    <mergeCell ref="H105:L105"/>
    <mergeCell ref="H106:K106"/>
    <mergeCell ref="H107:K107"/>
    <mergeCell ref="H120:K120"/>
    <mergeCell ref="H115:K115"/>
    <mergeCell ref="K131:L131"/>
    <mergeCell ref="K136:L136"/>
    <mergeCell ref="B118:E118"/>
    <mergeCell ref="B117:E117"/>
    <mergeCell ref="B115:E115"/>
    <mergeCell ref="B114:E114"/>
    <mergeCell ref="B113:E113"/>
    <mergeCell ref="B116:E116"/>
    <mergeCell ref="B142:D142"/>
    <mergeCell ref="B149:F149"/>
    <mergeCell ref="E144:L144"/>
    <mergeCell ref="B148:D148"/>
    <mergeCell ref="E148:F148"/>
    <mergeCell ref="B144:D144"/>
    <mergeCell ref="B143:L143"/>
    <mergeCell ref="J146:K146"/>
    <mergeCell ref="H148:K148"/>
    <mergeCell ref="B2:L2"/>
    <mergeCell ref="B57:F57"/>
    <mergeCell ref="B58:F58"/>
    <mergeCell ref="B59:F59"/>
    <mergeCell ref="B60:F60"/>
    <mergeCell ref="B41:L41"/>
    <mergeCell ref="B55:L55"/>
    <mergeCell ref="B7:F7"/>
    <mergeCell ref="G4:L4"/>
    <mergeCell ref="B19:F19"/>
    <mergeCell ref="B8:F8"/>
    <mergeCell ref="G18:L18"/>
    <mergeCell ref="G19:L19"/>
    <mergeCell ref="G20:L20"/>
    <mergeCell ref="B9:F9"/>
    <mergeCell ref="B11:F11"/>
    <mergeCell ref="B10:F10"/>
    <mergeCell ref="B14:F14"/>
    <mergeCell ref="B15:F15"/>
    <mergeCell ref="B18:F18"/>
    <mergeCell ref="B3:L3"/>
    <mergeCell ref="G49:L49"/>
    <mergeCell ref="B30:F30"/>
    <mergeCell ref="G30:L30"/>
    <mergeCell ref="B16:F16"/>
    <mergeCell ref="B50:F50"/>
    <mergeCell ref="G24:L24"/>
    <mergeCell ref="B32:F32"/>
    <mergeCell ref="B39:G40"/>
    <mergeCell ref="B106:E106"/>
    <mergeCell ref="B98:E98"/>
    <mergeCell ref="B103:E103"/>
    <mergeCell ref="B95:E95"/>
    <mergeCell ref="H98:K98"/>
    <mergeCell ref="H94:K94"/>
    <mergeCell ref="B93:E93"/>
    <mergeCell ref="H97:K97"/>
    <mergeCell ref="H93:K93"/>
    <mergeCell ref="H95:K95"/>
    <mergeCell ref="B96:E96"/>
    <mergeCell ref="B99:E99"/>
    <mergeCell ref="B94:E94"/>
    <mergeCell ref="H99:K99"/>
    <mergeCell ref="B104:F104"/>
    <mergeCell ref="H96:K96"/>
    <mergeCell ref="B97:E97"/>
    <mergeCell ref="G5:L5"/>
    <mergeCell ref="B4:F4"/>
    <mergeCell ref="B5:F5"/>
    <mergeCell ref="G23:L23"/>
    <mergeCell ref="B6:L6"/>
    <mergeCell ref="G13:L13"/>
    <mergeCell ref="G16:L16"/>
    <mergeCell ref="B12:F12"/>
    <mergeCell ref="G12:L12"/>
    <mergeCell ref="G10:L10"/>
    <mergeCell ref="G11:L11"/>
    <mergeCell ref="B13:F13"/>
    <mergeCell ref="G15:L15"/>
    <mergeCell ref="G14:L14"/>
    <mergeCell ref="B21:F21"/>
    <mergeCell ref="B22:F22"/>
    <mergeCell ref="H88:K88"/>
    <mergeCell ref="B77:E77"/>
    <mergeCell ref="B63:F63"/>
    <mergeCell ref="G7:L7"/>
    <mergeCell ref="G8:L8"/>
    <mergeCell ref="G9:L9"/>
    <mergeCell ref="H74:K74"/>
    <mergeCell ref="H77:K77"/>
    <mergeCell ref="B26:L26"/>
    <mergeCell ref="G60:L60"/>
    <mergeCell ref="B53:F53"/>
    <mergeCell ref="B67:F67"/>
    <mergeCell ref="B68:E68"/>
    <mergeCell ref="H68:K68"/>
    <mergeCell ref="H69:K69"/>
    <mergeCell ref="H72:K72"/>
    <mergeCell ref="B69:E69"/>
    <mergeCell ref="B71:E71"/>
    <mergeCell ref="B70:E70"/>
    <mergeCell ref="B73:E73"/>
    <mergeCell ref="B76:E76"/>
    <mergeCell ref="B72:E72"/>
    <mergeCell ref="B75:E75"/>
    <mergeCell ref="G51:L51"/>
    <mergeCell ref="B79:E79"/>
    <mergeCell ref="B83:E83"/>
    <mergeCell ref="G56:L56"/>
    <mergeCell ref="G53:L53"/>
    <mergeCell ref="B61:F61"/>
    <mergeCell ref="B91:E91"/>
    <mergeCell ref="B92:E92"/>
    <mergeCell ref="B87:F87"/>
    <mergeCell ref="B89:E89"/>
    <mergeCell ref="H78:K78"/>
    <mergeCell ref="H83:K83"/>
    <mergeCell ref="H92:K92"/>
    <mergeCell ref="G59:L59"/>
    <mergeCell ref="H67:L67"/>
    <mergeCell ref="H90:K90"/>
    <mergeCell ref="H91:K91"/>
    <mergeCell ref="B88:E88"/>
    <mergeCell ref="H79:K79"/>
    <mergeCell ref="H89:K89"/>
    <mergeCell ref="B85:L85"/>
    <mergeCell ref="B80:E80"/>
    <mergeCell ref="H80:K80"/>
    <mergeCell ref="H87:L87"/>
    <mergeCell ref="B90:E90"/>
    <mergeCell ref="Q1:S1"/>
    <mergeCell ref="B28:F28"/>
    <mergeCell ref="G28:L28"/>
    <mergeCell ref="B48:F48"/>
    <mergeCell ref="G29:L29"/>
    <mergeCell ref="B25:F25"/>
    <mergeCell ref="G27:L27"/>
    <mergeCell ref="H32:L35"/>
    <mergeCell ref="B27:F27"/>
    <mergeCell ref="B17:L17"/>
    <mergeCell ref="B43:F45"/>
    <mergeCell ref="R24:T24"/>
    <mergeCell ref="G21:L21"/>
    <mergeCell ref="B37:F37"/>
    <mergeCell ref="G45:L45"/>
    <mergeCell ref="G42:L42"/>
    <mergeCell ref="G44:L44"/>
    <mergeCell ref="G46:L46"/>
    <mergeCell ref="G22:L22"/>
    <mergeCell ref="B23:F23"/>
    <mergeCell ref="B24:F24"/>
    <mergeCell ref="B20:F20"/>
    <mergeCell ref="B29:F29"/>
    <mergeCell ref="G25:L25"/>
    <mergeCell ref="Y45:Z45"/>
    <mergeCell ref="B31:F31"/>
    <mergeCell ref="Y44:Z44"/>
    <mergeCell ref="B33:F33"/>
    <mergeCell ref="B34:F34"/>
    <mergeCell ref="B35:F35"/>
    <mergeCell ref="B36:F36"/>
    <mergeCell ref="B42:F42"/>
    <mergeCell ref="G31:L31"/>
    <mergeCell ref="B38:F38"/>
    <mergeCell ref="G43:L43"/>
    <mergeCell ref="H36:L40"/>
    <mergeCell ref="Y46:Z46"/>
    <mergeCell ref="Y47:Z47"/>
    <mergeCell ref="K134:L134"/>
    <mergeCell ref="Q51:R51"/>
    <mergeCell ref="Q114:S114"/>
    <mergeCell ref="G58:L58"/>
    <mergeCell ref="K130:L130"/>
    <mergeCell ref="H135:J135"/>
    <mergeCell ref="Q110:R110"/>
    <mergeCell ref="H132:I132"/>
    <mergeCell ref="Q54:S55"/>
    <mergeCell ref="G63:L63"/>
    <mergeCell ref="G61:L61"/>
    <mergeCell ref="B65:L65"/>
    <mergeCell ref="G47:L47"/>
    <mergeCell ref="H71:K71"/>
    <mergeCell ref="Q52:R52"/>
    <mergeCell ref="G54:L54"/>
    <mergeCell ref="B62:F62"/>
    <mergeCell ref="B51:F51"/>
    <mergeCell ref="B78:E78"/>
    <mergeCell ref="G62:L62"/>
    <mergeCell ref="B74:E74"/>
    <mergeCell ref="H76:K76"/>
    <mergeCell ref="B46:F46"/>
    <mergeCell ref="B47:F47"/>
    <mergeCell ref="B56:F56"/>
    <mergeCell ref="B52:F52"/>
    <mergeCell ref="B54:F54"/>
    <mergeCell ref="H75:K75"/>
    <mergeCell ref="H73:K73"/>
    <mergeCell ref="G50:L50"/>
    <mergeCell ref="H70:K70"/>
    <mergeCell ref="G52:L52"/>
    <mergeCell ref="B49:F49"/>
    <mergeCell ref="G48:L48"/>
    <mergeCell ref="G57:L57"/>
    <mergeCell ref="R164:W164"/>
    <mergeCell ref="R157:W157"/>
    <mergeCell ref="AF191:AG191"/>
    <mergeCell ref="R174:W174"/>
    <mergeCell ref="Q103:S103"/>
    <mergeCell ref="Q108:R108"/>
    <mergeCell ref="Q111:R111"/>
    <mergeCell ref="R165:W165"/>
    <mergeCell ref="AG128:AG130"/>
    <mergeCell ref="R171:W171"/>
    <mergeCell ref="R172:W172"/>
    <mergeCell ref="Q106:R106"/>
    <mergeCell ref="AD125:AD127"/>
    <mergeCell ref="AG125:AG127"/>
    <mergeCell ref="R123:R125"/>
    <mergeCell ref="Q115:R115"/>
    <mergeCell ref="Q104:R104"/>
    <mergeCell ref="K133:L133"/>
    <mergeCell ref="H133:I133"/>
    <mergeCell ref="E152:F152"/>
    <mergeCell ref="E150:F150"/>
    <mergeCell ref="B141:I141"/>
    <mergeCell ref="Q129:S129"/>
    <mergeCell ref="AD90:AJ90"/>
    <mergeCell ref="AD112:AJ112"/>
    <mergeCell ref="Q105:R105"/>
    <mergeCell ref="B110:E110"/>
    <mergeCell ref="B109:E109"/>
    <mergeCell ref="H116:K116"/>
    <mergeCell ref="B112:E112"/>
    <mergeCell ref="H109:K109"/>
    <mergeCell ref="H110:K110"/>
    <mergeCell ref="B108:E108"/>
    <mergeCell ref="H108:K108"/>
    <mergeCell ref="B107:E107"/>
    <mergeCell ref="H100:K100"/>
    <mergeCell ref="B100:E100"/>
    <mergeCell ref="I103:K103"/>
    <mergeCell ref="B120:E120"/>
    <mergeCell ref="AC300:AD300"/>
    <mergeCell ref="R163:W163"/>
    <mergeCell ref="AC294:AD294"/>
    <mergeCell ref="AC295:AD295"/>
    <mergeCell ref="AC296:AD296"/>
    <mergeCell ref="AC297:AD297"/>
    <mergeCell ref="R176:W176"/>
    <mergeCell ref="AD102:AJ102"/>
    <mergeCell ref="AD120:AJ120"/>
    <mergeCell ref="AC298:AD298"/>
    <mergeCell ref="R166:W166"/>
    <mergeCell ref="R167:W167"/>
    <mergeCell ref="R173:W173"/>
    <mergeCell ref="R170:W170"/>
    <mergeCell ref="R145:S145"/>
    <mergeCell ref="Q117:R117"/>
    <mergeCell ref="Q112:R112"/>
    <mergeCell ref="Q116:R116"/>
    <mergeCell ref="AD117:AE117"/>
    <mergeCell ref="R175:W175"/>
    <mergeCell ref="X160:AG163"/>
    <mergeCell ref="AD128:AD130"/>
    <mergeCell ref="AA292:AD292"/>
    <mergeCell ref="R169:W169"/>
    <mergeCell ref="AC299:AD299"/>
    <mergeCell ref="Q107:R107"/>
    <mergeCell ref="Q109:R109"/>
    <mergeCell ref="R168:W168"/>
    <mergeCell ref="R159:W159"/>
    <mergeCell ref="B150:D150"/>
    <mergeCell ref="B151:F151"/>
    <mergeCell ref="H150:J150"/>
    <mergeCell ref="H130:I130"/>
    <mergeCell ref="J141:L141"/>
    <mergeCell ref="E156:F156"/>
    <mergeCell ref="B135:E135"/>
    <mergeCell ref="B139:L139"/>
    <mergeCell ref="B119:E119"/>
    <mergeCell ref="B111:E111"/>
    <mergeCell ref="H122:K122"/>
    <mergeCell ref="H125:K125"/>
    <mergeCell ref="H123:K123"/>
    <mergeCell ref="K132:L132"/>
    <mergeCell ref="B123:F123"/>
    <mergeCell ref="B152:D152"/>
    <mergeCell ref="R162:W162"/>
    <mergeCell ref="R161:W161"/>
    <mergeCell ref="R156:W156"/>
  </mergeCells>
  <phoneticPr fontId="18" type="noConversion"/>
  <dataValidations count="10">
    <dataValidation type="list" allowBlank="1" showInputMessage="1" showErrorMessage="1" sqref="G51">
      <formula1>$R$25:$R$41</formula1>
    </dataValidation>
    <dataValidation type="list" allowBlank="1" showInputMessage="1" showErrorMessage="1" sqref="G47:L47">
      <formula1>$R$43:$R$44</formula1>
    </dataValidation>
    <dataValidation type="list" allowBlank="1" showInputMessage="1" showErrorMessage="1" sqref="B124:B134 F83 H103 F103 N126:N132 O126 O128:O132">
      <formula1>$R$92:$R$93</formula1>
    </dataValidation>
    <dataValidation type="list" allowBlank="1" showInputMessage="1" showErrorMessage="1" sqref="G60:L61">
      <formula1>$R$92:$R$94</formula1>
    </dataValidation>
    <dataValidation type="list" allowBlank="1" showInputMessage="1" showErrorMessage="1" sqref="L146">
      <formula1>$S$73:$S$75</formula1>
    </dataValidation>
    <dataValidation type="custom" allowBlank="1" showInputMessage="1" showErrorMessage="1" sqref="BH19">
      <formula1>MOD(SUM(MID(G8,ROW(INDIRECT("1:11")),1)*MID("54327654321",ROW(INDIRECT("1:11")),1)),11)=0</formula1>
    </dataValidation>
    <dataValidation type="custom" allowBlank="1" showInputMessage="1" showErrorMessage="1" sqref="BH14">
      <formula1>MOD(SUM(MID(BH14,ROW(INDIRECT("1:11")),1)*MID("54327654321",ROW(INDIRECT("1:11")),1)),11)=0</formula1>
    </dataValidation>
    <dataValidation type="custom" allowBlank="1" showInputMessage="1" showErrorMessage="1" sqref="BH17">
      <formula1>IF(BH17="#","#",(MOD(SUM(MID(BH17,ROW(INDIRECT("1:11")),1)*MID("54327654321",ROW(INDIRECT("1:11")),1)),11)=0))</formula1>
    </dataValidation>
    <dataValidation type="list" allowBlank="1" showInputMessage="1" showErrorMessage="1" sqref="I103:K103">
      <formula1>$Q$95:$Q$98</formula1>
    </dataValidation>
    <dataValidation type="list" allowBlank="1" showInputMessage="1" showErrorMessage="1" sqref="L148 L83 L123 F117 L97 F97 L77 F77">
      <formula1>$S$123:$S$125</formula1>
    </dataValidation>
  </dataValidations>
  <printOptions gridLines="1"/>
  <pageMargins left="0.75" right="0.75" top="1" bottom="1" header="0.5" footer="0.5"/>
  <pageSetup paperSize="9" orientation="portrait" horizontalDpi="120" verticalDpi="12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V178"/>
  <sheetViews>
    <sheetView zoomScale="115" zoomScaleNormal="115" workbookViewId="0">
      <selection activeCell="BN30" sqref="BN30"/>
    </sheetView>
  </sheetViews>
  <sheetFormatPr baseColWidth="10" defaultColWidth="11.42578125" defaultRowHeight="11.25"/>
  <cols>
    <col min="1" max="1" width="0.85546875" style="8" customWidth="1"/>
    <col min="2" max="14" width="1.7109375" style="8" customWidth="1"/>
    <col min="15" max="15" width="3.140625" style="8" customWidth="1"/>
    <col min="16" max="21" width="1.7109375" style="8" customWidth="1"/>
    <col min="22" max="22" width="2.85546875" style="8" customWidth="1"/>
    <col min="23" max="28" width="1.7109375" style="8" customWidth="1"/>
    <col min="29" max="29" width="3.140625" style="8" customWidth="1"/>
    <col min="30" max="34" width="1.7109375" style="8" customWidth="1"/>
    <col min="35" max="35" width="3" style="8" customWidth="1"/>
    <col min="36" max="36" width="3.7109375" style="8" customWidth="1"/>
    <col min="37" max="40" width="1.7109375" style="8" customWidth="1"/>
    <col min="41" max="41" width="1.7109375" style="79" customWidth="1"/>
    <col min="42" max="42" width="2.140625" style="8" customWidth="1"/>
    <col min="43" max="45" width="1.7109375" style="8" customWidth="1"/>
    <col min="46" max="46" width="1.7109375" style="79" customWidth="1"/>
    <col min="47" max="48" width="1.7109375" style="8" customWidth="1"/>
    <col min="49" max="49" width="2.85546875" style="8" customWidth="1"/>
    <col min="50" max="51" width="1.7109375" style="8" customWidth="1"/>
    <col min="52" max="52" width="2.28515625" style="8" customWidth="1"/>
    <col min="53" max="57" width="1.7109375" style="8" customWidth="1"/>
    <col min="58" max="58" width="2.85546875" style="8" customWidth="1"/>
    <col min="59" max="59" width="2.5703125" style="8" customWidth="1"/>
    <col min="60" max="62" width="1.7109375" style="8" customWidth="1"/>
    <col min="63" max="63" width="2" style="8" customWidth="1"/>
    <col min="64" max="64" width="1.7109375" style="8" customWidth="1"/>
    <col min="65" max="65" width="0.85546875" style="8" customWidth="1"/>
    <col min="66" max="16384" width="11.42578125" style="8"/>
  </cols>
  <sheetData>
    <row r="1" spans="1:103" ht="3" customHeight="1">
      <c r="A1" s="1186"/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186"/>
      <c r="AI1" s="1186"/>
      <c r="AJ1" s="1186"/>
      <c r="AK1" s="1186"/>
      <c r="AL1" s="1186"/>
      <c r="AM1" s="1186"/>
      <c r="AN1" s="1186"/>
      <c r="AO1" s="1186"/>
      <c r="AP1" s="1186"/>
      <c r="AQ1" s="1186"/>
      <c r="AR1" s="1186"/>
      <c r="AS1" s="1186"/>
      <c r="AT1" s="1186"/>
      <c r="AU1" s="1186"/>
      <c r="AV1" s="1186"/>
      <c r="AW1" s="1186"/>
      <c r="AX1" s="1186"/>
      <c r="AY1" s="1186"/>
      <c r="AZ1" s="1186"/>
      <c r="BA1" s="1186"/>
      <c r="BB1" s="1186"/>
      <c r="BC1" s="1186"/>
      <c r="BD1" s="1186"/>
      <c r="BE1" s="1186"/>
      <c r="BF1" s="1186"/>
      <c r="BG1" s="1186"/>
      <c r="BH1" s="1186"/>
      <c r="BI1" s="1186"/>
      <c r="BJ1" s="1186"/>
      <c r="BK1" s="1186"/>
      <c r="BL1" s="1186"/>
      <c r="BM1" s="1186"/>
    </row>
    <row r="2" spans="1:103" ht="20.25" customHeight="1">
      <c r="A2" s="1186"/>
      <c r="E2" s="75"/>
      <c r="F2" s="9"/>
      <c r="BM2" s="1186"/>
    </row>
    <row r="3" spans="1:103" ht="20.25" customHeight="1">
      <c r="A3" s="1186"/>
      <c r="E3" s="75"/>
      <c r="F3" s="9"/>
      <c r="S3" s="57"/>
      <c r="T3" s="107"/>
      <c r="U3" s="107"/>
      <c r="V3" s="107"/>
      <c r="W3" s="107"/>
      <c r="X3" s="107"/>
      <c r="Y3" s="107"/>
      <c r="Z3" s="107"/>
      <c r="AA3" s="57"/>
      <c r="BM3" s="1186"/>
    </row>
    <row r="4" spans="1:103" ht="25.5" customHeight="1">
      <c r="A4" s="1186"/>
      <c r="F4" s="109"/>
      <c r="G4" s="109"/>
      <c r="H4" s="109"/>
      <c r="I4" s="109"/>
      <c r="J4" s="109"/>
      <c r="K4" s="109"/>
      <c r="S4" s="57"/>
      <c r="T4" s="108"/>
      <c r="U4" s="108"/>
      <c r="V4" s="108"/>
      <c r="W4" s="108"/>
      <c r="X4" s="108"/>
      <c r="Y4" s="108"/>
      <c r="Z4" s="108"/>
      <c r="AA4" s="57"/>
      <c r="BM4" s="1186"/>
    </row>
    <row r="5" spans="1:103" ht="54" customHeight="1">
      <c r="A5" s="1186"/>
      <c r="B5" s="107"/>
      <c r="C5" s="57"/>
      <c r="D5" s="57"/>
      <c r="F5" s="11"/>
      <c r="G5" s="11"/>
      <c r="H5" s="11"/>
      <c r="S5" s="57"/>
      <c r="T5" s="108"/>
      <c r="U5" s="108"/>
      <c r="V5" s="108"/>
      <c r="W5" s="108"/>
      <c r="X5" s="108"/>
      <c r="Y5" s="108"/>
      <c r="Z5" s="108"/>
      <c r="AA5" s="57"/>
      <c r="BM5" s="1186"/>
    </row>
    <row r="6" spans="1:103" ht="24.75" customHeight="1">
      <c r="A6" s="1186"/>
      <c r="B6" s="1228"/>
      <c r="C6" s="1229"/>
      <c r="D6" s="1229"/>
      <c r="E6" s="10"/>
      <c r="F6" s="11"/>
      <c r="G6" s="11"/>
      <c r="H6" s="11"/>
      <c r="R6" s="110" t="s">
        <v>0</v>
      </c>
      <c r="S6" s="57"/>
      <c r="T6" s="108"/>
      <c r="U6" s="108"/>
      <c r="V6" s="108"/>
      <c r="W6" s="108"/>
      <c r="X6" s="108"/>
      <c r="Y6" s="108"/>
      <c r="Z6" s="108"/>
      <c r="AA6" s="57"/>
      <c r="BM6" s="1186"/>
      <c r="BR6" s="6"/>
    </row>
    <row r="7" spans="1:103" ht="9.75" customHeight="1">
      <c r="A7" s="1186"/>
      <c r="B7" s="57"/>
      <c r="C7" s="57"/>
      <c r="D7" s="57"/>
      <c r="S7" s="57"/>
      <c r="T7" s="57"/>
      <c r="U7" s="57"/>
      <c r="V7" s="57"/>
      <c r="W7" s="57"/>
      <c r="X7" s="57"/>
      <c r="Y7" s="57"/>
      <c r="Z7" s="57"/>
      <c r="AA7" s="57"/>
      <c r="BM7" s="1186"/>
    </row>
    <row r="8" spans="1:103" s="29" customFormat="1" ht="24" customHeight="1">
      <c r="A8" s="1186"/>
      <c r="B8" s="95" t="s">
        <v>1</v>
      </c>
      <c r="J8" s="1231" t="str">
        <f>DATOS!$G$4</f>
        <v>#</v>
      </c>
      <c r="K8" s="1231"/>
      <c r="L8" s="1231"/>
      <c r="M8" s="1231"/>
      <c r="N8" s="1231"/>
      <c r="O8" s="1231"/>
      <c r="P8" s="1231"/>
      <c r="Q8" s="1231"/>
      <c r="R8" s="1231"/>
      <c r="S8" s="1231"/>
      <c r="T8" s="1231"/>
      <c r="U8" s="155" t="s">
        <v>318</v>
      </c>
      <c r="V8" s="1232" t="str">
        <f>DATOS!$G$5</f>
        <v>#</v>
      </c>
      <c r="W8" s="1232"/>
      <c r="X8" s="1232"/>
      <c r="Y8" s="1232"/>
      <c r="Z8" s="1232"/>
      <c r="AA8" s="1232"/>
      <c r="AB8" s="1232"/>
      <c r="AC8" s="1232"/>
      <c r="AD8" s="1232"/>
      <c r="AE8" s="1232"/>
      <c r="AF8" s="1232"/>
      <c r="AG8" s="1232"/>
      <c r="AH8" s="1232"/>
      <c r="AI8" s="1232"/>
      <c r="AJ8" s="1232"/>
      <c r="AK8" s="1232"/>
      <c r="AL8" s="202" t="s">
        <v>2</v>
      </c>
      <c r="AM8" s="454"/>
      <c r="AO8" s="1233" t="str">
        <f>DATOS!$G$7</f>
        <v>#</v>
      </c>
      <c r="AP8" s="1233"/>
      <c r="AQ8" s="1233"/>
      <c r="AR8" s="1233"/>
      <c r="AS8" s="1233"/>
      <c r="AT8" s="1233"/>
      <c r="AU8" s="1233"/>
      <c r="AV8" s="1233"/>
      <c r="AW8" s="1233"/>
      <c r="AX8" s="1233"/>
      <c r="AY8" s="1233"/>
      <c r="AZ8" s="1233"/>
      <c r="BA8" s="1233"/>
      <c r="BB8" s="1233"/>
      <c r="BC8" s="1233"/>
      <c r="BD8" s="1233"/>
      <c r="BE8" s="1233"/>
      <c r="BF8" s="1233"/>
      <c r="BG8" s="1233"/>
      <c r="BH8" s="1233"/>
      <c r="BI8" s="1233"/>
      <c r="BJ8" s="1233"/>
      <c r="BK8" s="1233"/>
      <c r="BL8" s="1233"/>
      <c r="BM8" s="1186"/>
      <c r="BN8" s="8"/>
      <c r="BS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29" customFormat="1" ht="3" customHeight="1">
      <c r="A9" s="1186"/>
      <c r="B9" s="95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6"/>
      <c r="V9" s="216"/>
      <c r="W9" s="216"/>
      <c r="X9" s="216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8"/>
      <c r="AJ9" s="218"/>
      <c r="AK9" s="218"/>
      <c r="AL9" s="218"/>
      <c r="AM9" s="218"/>
      <c r="AN9" s="218"/>
      <c r="AO9" s="210"/>
      <c r="AP9" s="210"/>
      <c r="AQ9" s="210"/>
      <c r="AR9" s="210"/>
      <c r="AS9" s="210"/>
      <c r="AT9" s="210"/>
      <c r="AU9" s="210"/>
      <c r="AV9" s="210"/>
      <c r="AW9" s="210"/>
      <c r="AX9" s="95"/>
      <c r="AY9" s="95"/>
      <c r="BC9" s="211"/>
      <c r="BD9" s="211"/>
      <c r="BE9" s="211"/>
      <c r="BF9" s="211"/>
      <c r="BG9" s="211"/>
      <c r="BH9" s="202"/>
      <c r="BM9" s="1186"/>
      <c r="BS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103" ht="14.25" customHeight="1">
      <c r="A10" s="1186"/>
      <c r="B10" s="1235" t="s">
        <v>149</v>
      </c>
      <c r="C10" s="1235"/>
      <c r="D10" s="1235"/>
      <c r="E10" s="1235"/>
      <c r="F10" s="1236" t="str">
        <f>DATOS!$G$8</f>
        <v>#</v>
      </c>
      <c r="G10" s="1236"/>
      <c r="H10" s="1236"/>
      <c r="I10" s="1236"/>
      <c r="J10" s="1236"/>
      <c r="K10" s="1236"/>
      <c r="L10" s="1236"/>
      <c r="M10" s="1236"/>
      <c r="N10" s="1225" t="s">
        <v>222</v>
      </c>
      <c r="O10" s="1225"/>
      <c r="P10" s="1225"/>
      <c r="Q10" s="1225"/>
      <c r="R10" s="1225"/>
      <c r="S10" s="1234" t="str">
        <f>DATOS!$G$11</f>
        <v>#</v>
      </c>
      <c r="T10" s="1234"/>
      <c r="U10" s="1234"/>
      <c r="V10" s="1234"/>
      <c r="W10" s="1234"/>
      <c r="X10" s="1234"/>
      <c r="Y10" s="1234"/>
      <c r="Z10" s="1234"/>
      <c r="AA10" s="1234"/>
      <c r="AB10" s="1234"/>
      <c r="AC10" s="1234"/>
      <c r="AD10" s="1234"/>
      <c r="AE10" s="1234"/>
      <c r="AF10" s="1234"/>
      <c r="AG10" s="1234"/>
      <c r="AH10" s="1234"/>
      <c r="AI10" s="1234"/>
      <c r="AJ10" s="8" t="s">
        <v>378</v>
      </c>
      <c r="AK10" s="1234" t="str">
        <f>DATOS!$G$12</f>
        <v>#</v>
      </c>
      <c r="AL10" s="1234"/>
      <c r="AM10" s="1234"/>
      <c r="AN10" s="1234"/>
      <c r="AO10" s="1225" t="s">
        <v>448</v>
      </c>
      <c r="AP10" s="1225"/>
      <c r="AQ10" s="1225"/>
      <c r="AR10" s="1225"/>
      <c r="AS10" s="1225"/>
      <c r="AT10" s="1237" t="str">
        <f>DATOS!$G$13</f>
        <v>#</v>
      </c>
      <c r="AU10" s="1237"/>
      <c r="AV10" s="1237"/>
      <c r="AW10" s="1237"/>
      <c r="AX10" s="1237"/>
      <c r="AY10" s="1237"/>
      <c r="AZ10" s="1237"/>
      <c r="BA10" s="1237"/>
      <c r="BB10" s="1237"/>
      <c r="BC10" s="1237"/>
      <c r="BD10" s="1237"/>
      <c r="BE10" s="1237"/>
      <c r="BF10" s="1237"/>
      <c r="BG10" s="1237"/>
      <c r="BH10" s="1237"/>
      <c r="BI10" s="1237"/>
      <c r="BJ10" s="1237"/>
      <c r="BK10" s="1237"/>
      <c r="BL10" s="1237"/>
      <c r="BM10" s="1186"/>
      <c r="BN10" s="6"/>
      <c r="BO10" s="6"/>
      <c r="BP10" s="6"/>
      <c r="BQ10" s="6"/>
      <c r="BR10" s="6"/>
    </row>
    <row r="11" spans="1:103" ht="3" customHeight="1">
      <c r="A11" s="1186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2"/>
      <c r="AB11" s="12"/>
      <c r="AC11" s="12"/>
      <c r="AD11" s="12"/>
      <c r="AE11" s="217"/>
      <c r="AF11" s="217"/>
      <c r="AG11" s="217"/>
      <c r="AH11" s="217"/>
      <c r="AI11" s="217"/>
      <c r="AJ11" s="217"/>
      <c r="AK11" s="217"/>
      <c r="AL11" s="217"/>
      <c r="AM11" s="217"/>
      <c r="AN11" s="116"/>
      <c r="AQ11" s="116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M11" s="1186"/>
      <c r="BN11" s="6"/>
      <c r="BO11" s="6"/>
      <c r="BP11" s="6"/>
      <c r="BQ11" s="6"/>
      <c r="BR11" s="6"/>
    </row>
    <row r="12" spans="1:103" ht="12.75" customHeight="1">
      <c r="A12" s="1186"/>
      <c r="B12" s="8" t="s">
        <v>221</v>
      </c>
      <c r="G12" s="1221" t="str">
        <f>DATOS!$G$16</f>
        <v>EL MISMO</v>
      </c>
      <c r="H12" s="1221"/>
      <c r="I12" s="1221"/>
      <c r="J12" s="1221"/>
      <c r="K12" s="1221"/>
      <c r="L12" s="1221"/>
      <c r="M12" s="1221"/>
      <c r="N12" s="1221"/>
      <c r="O12" s="1221"/>
      <c r="P12" s="1221"/>
      <c r="Q12" s="1221"/>
      <c r="R12" s="1221"/>
      <c r="S12" s="1221"/>
      <c r="T12" s="1221"/>
      <c r="U12" s="1221"/>
      <c r="V12" s="1221"/>
      <c r="W12" s="1221"/>
      <c r="X12" s="1221"/>
      <c r="Y12" s="1221"/>
      <c r="Z12" s="6" t="s">
        <v>148</v>
      </c>
      <c r="AA12" s="94"/>
      <c r="AB12" s="94"/>
      <c r="AO12" s="1230" t="str">
        <f>DATOS!$G$18</f>
        <v>#</v>
      </c>
      <c r="AP12" s="1230"/>
      <c r="AQ12" s="1230"/>
      <c r="AR12" s="1230"/>
      <c r="AS12" s="1230"/>
      <c r="AT12" s="1230"/>
      <c r="AU12" s="1230"/>
      <c r="AV12" s="1230"/>
      <c r="AW12" s="1230"/>
      <c r="AX12" s="1230"/>
      <c r="AY12" s="1230"/>
      <c r="AZ12" s="1230"/>
      <c r="BA12" s="1230"/>
      <c r="BB12" s="1230"/>
      <c r="BC12" s="1230"/>
      <c r="BD12" s="1230"/>
      <c r="BE12" s="1230"/>
      <c r="BF12" s="1230"/>
      <c r="BG12" s="1230"/>
      <c r="BH12" s="1230"/>
      <c r="BI12" s="1230"/>
      <c r="BJ12" s="1230"/>
      <c r="BK12" s="1230"/>
      <c r="BM12" s="1186"/>
    </row>
    <row r="13" spans="1:103" ht="3" customHeight="1">
      <c r="A13" s="118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"/>
      <c r="AA13" s="94"/>
      <c r="AB13" s="94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M13" s="1186"/>
    </row>
    <row r="14" spans="1:103" ht="12.75" customHeight="1">
      <c r="A14" s="1186"/>
      <c r="B14" s="1235" t="s">
        <v>229</v>
      </c>
      <c r="C14" s="1235"/>
      <c r="D14" s="1235"/>
      <c r="E14" s="1230" t="str">
        <f>DATOS!$G$19</f>
        <v>#</v>
      </c>
      <c r="F14" s="1230"/>
      <c r="G14" s="1230"/>
      <c r="H14" s="1230"/>
      <c r="I14" s="1230"/>
      <c r="J14" s="1230"/>
      <c r="K14" s="1230"/>
      <c r="L14" s="1230"/>
      <c r="M14" s="6" t="s">
        <v>3</v>
      </c>
      <c r="Y14" s="1238" t="str">
        <f>DATOS!$G$20</f>
        <v>#</v>
      </c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1238"/>
      <c r="AN14" s="1238"/>
      <c r="AO14" s="6" t="s">
        <v>4</v>
      </c>
      <c r="BF14" s="1230" t="str">
        <f>DATOS!$G$21</f>
        <v>#</v>
      </c>
      <c r="BG14" s="1230"/>
      <c r="BH14" s="1230"/>
      <c r="BI14" s="1230"/>
      <c r="BJ14" s="1230"/>
      <c r="BK14" s="1230"/>
      <c r="BL14" s="1230"/>
      <c r="BM14" s="1186"/>
    </row>
    <row r="15" spans="1:103" ht="3" customHeight="1">
      <c r="A15" s="1186"/>
      <c r="B15" s="12"/>
      <c r="C15" s="12"/>
      <c r="D15" s="12"/>
      <c r="E15" s="213"/>
      <c r="F15" s="213"/>
      <c r="G15" s="213"/>
      <c r="H15" s="213"/>
      <c r="I15" s="213"/>
      <c r="J15" s="213"/>
      <c r="K15" s="213"/>
      <c r="L15" s="213"/>
      <c r="M15" s="6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6"/>
      <c r="BF15" s="213"/>
      <c r="BG15" s="213"/>
      <c r="BH15" s="213"/>
      <c r="BI15" s="213"/>
      <c r="BJ15" s="213"/>
      <c r="BK15" s="213"/>
      <c r="BM15" s="1186"/>
    </row>
    <row r="16" spans="1:103" ht="12.75" customHeight="1">
      <c r="A16" s="1186"/>
      <c r="B16" s="8" t="s">
        <v>230</v>
      </c>
      <c r="K16" s="1234" t="str">
        <f>DATOS!$G$23</f>
        <v>#</v>
      </c>
      <c r="L16" s="1234"/>
      <c r="M16" s="1234"/>
      <c r="N16" s="1234"/>
      <c r="O16" s="1234"/>
      <c r="P16" s="1234"/>
      <c r="Q16" s="1234"/>
      <c r="R16" s="1234"/>
      <c r="S16" s="1234"/>
      <c r="T16" s="1234"/>
      <c r="U16" s="1234"/>
      <c r="V16" s="1234"/>
      <c r="W16" s="1234"/>
      <c r="X16" s="1234"/>
      <c r="Y16" s="1234"/>
      <c r="Z16" s="1234"/>
      <c r="AA16" s="1234"/>
      <c r="AB16" s="1234"/>
      <c r="AC16" s="1234"/>
      <c r="AD16" s="1234"/>
      <c r="AE16" s="1230" t="str">
        <f>DATOS!$G$24</f>
        <v>#</v>
      </c>
      <c r="AF16" s="1230"/>
      <c r="AG16" s="1230"/>
      <c r="AH16" s="1230"/>
      <c r="AI16" s="1230"/>
      <c r="AJ16" s="1230"/>
      <c r="AK16" s="1230"/>
      <c r="AL16" s="1230"/>
      <c r="AM16" s="1230"/>
      <c r="AN16" s="1230"/>
      <c r="AO16" s="6" t="s">
        <v>150</v>
      </c>
      <c r="AT16" s="1230" t="str">
        <f>DATOS!$G$25</f>
        <v>EL MISMO</v>
      </c>
      <c r="AU16" s="1230"/>
      <c r="AV16" s="1230"/>
      <c r="AW16" s="1230"/>
      <c r="AX16" s="1230"/>
      <c r="AY16" s="1230"/>
      <c r="AZ16" s="1230"/>
      <c r="BA16" s="1230"/>
      <c r="BB16" s="1230"/>
      <c r="BC16" s="1230"/>
      <c r="BD16" s="1230"/>
      <c r="BE16" s="1230"/>
      <c r="BF16" s="1230"/>
      <c r="BG16" s="1230"/>
      <c r="BH16" s="1230"/>
      <c r="BI16" s="1230"/>
      <c r="BM16" s="1186"/>
    </row>
    <row r="17" spans="1:79" ht="3" customHeight="1">
      <c r="A17" s="1186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6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M17" s="1186"/>
    </row>
    <row r="18" spans="1:79" ht="12.75" customHeight="1">
      <c r="A18" s="1186"/>
      <c r="B18" s="8" t="s">
        <v>371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6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6"/>
      <c r="BM18" s="1186"/>
    </row>
    <row r="19" spans="1:79" ht="3" customHeight="1">
      <c r="A19" s="1186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6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6"/>
      <c r="BM19" s="1186"/>
    </row>
    <row r="20" spans="1:79" ht="12.75" customHeight="1">
      <c r="A20" s="1186"/>
      <c r="B20" s="5" t="s">
        <v>271</v>
      </c>
      <c r="F20" s="14"/>
      <c r="H20" s="9"/>
      <c r="AA20" s="93"/>
      <c r="AI20" s="1242" t="str">
        <f>DATOS!$X$160</f>
        <v xml:space="preserve">                      </v>
      </c>
      <c r="AJ20" s="1242"/>
      <c r="AK20" s="1242"/>
      <c r="AL20" s="1242"/>
      <c r="AM20" s="1242"/>
      <c r="AN20" s="1242"/>
      <c r="AO20" s="1242"/>
      <c r="AP20" s="1242"/>
      <c r="AQ20" s="1242"/>
      <c r="AR20" s="1242"/>
      <c r="AS20" s="1242"/>
      <c r="AT20" s="1242"/>
      <c r="AU20" s="1242"/>
      <c r="AV20" s="1242"/>
      <c r="AW20" s="1242"/>
      <c r="AX20" s="1242"/>
      <c r="AY20" s="1242"/>
      <c r="AZ20" s="1242"/>
      <c r="BA20" s="1242"/>
      <c r="BB20" s="1242"/>
      <c r="BC20" s="1242"/>
      <c r="BD20" s="1242"/>
      <c r="BE20" s="1242"/>
      <c r="BF20" s="1242"/>
      <c r="BG20" s="1242"/>
      <c r="BH20" s="1242"/>
      <c r="BI20" s="1242"/>
      <c r="BJ20" s="1242"/>
      <c r="BK20" s="1223" t="s">
        <v>5</v>
      </c>
      <c r="BL20" s="1223"/>
      <c r="BM20" s="1186"/>
    </row>
    <row r="21" spans="1:79" ht="12.75" customHeight="1">
      <c r="A21" s="1186"/>
      <c r="B21" s="5"/>
      <c r="F21" s="14"/>
      <c r="H21" s="9"/>
      <c r="AA21" s="93"/>
      <c r="AI21" s="1242"/>
      <c r="AJ21" s="1242"/>
      <c r="AK21" s="1242"/>
      <c r="AL21" s="1242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2"/>
      <c r="AW21" s="1242"/>
      <c r="AX21" s="1242"/>
      <c r="AY21" s="1242"/>
      <c r="AZ21" s="1242"/>
      <c r="BA21" s="1242"/>
      <c r="BB21" s="1242"/>
      <c r="BC21" s="1242"/>
      <c r="BD21" s="1242"/>
      <c r="BE21" s="1242"/>
      <c r="BF21" s="1242"/>
      <c r="BG21" s="1242"/>
      <c r="BH21" s="1242"/>
      <c r="BI21" s="1242"/>
      <c r="BJ21" s="1242"/>
      <c r="BK21" s="1223"/>
      <c r="BL21" s="1223"/>
      <c r="BM21" s="1186"/>
    </row>
    <row r="22" spans="1:79" ht="3" customHeight="1">
      <c r="A22" s="1186"/>
      <c r="B22" s="5"/>
      <c r="F22" s="14"/>
      <c r="H22" s="9"/>
      <c r="AA22" s="93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I22" s="12"/>
      <c r="BJ22" s="203"/>
      <c r="BK22" s="203"/>
      <c r="BM22" s="1186"/>
    </row>
    <row r="23" spans="1:79" ht="12.75" customHeight="1">
      <c r="A23" s="1186"/>
      <c r="B23" s="1240" t="str">
        <f>DATOS!$G$51</f>
        <v>Presentacion MUNICIPAL</v>
      </c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1" t="s">
        <v>372</v>
      </c>
      <c r="N23" s="1241"/>
      <c r="O23" s="1241"/>
      <c r="P23" s="1241"/>
      <c r="Q23" s="1241"/>
      <c r="R23" s="1234" t="str">
        <f>DATOS!$G$27</f>
        <v>#</v>
      </c>
      <c r="S23" s="1234"/>
      <c r="T23" s="1234"/>
      <c r="U23" s="1234"/>
      <c r="V23" s="1234"/>
      <c r="W23" s="1234"/>
      <c r="X23" s="1234"/>
      <c r="Y23" s="1234"/>
      <c r="Z23" s="1234"/>
      <c r="AA23" s="1234"/>
      <c r="AB23" s="1234"/>
      <c r="AC23" s="1234"/>
      <c r="AD23" s="1234"/>
      <c r="AE23" s="1234"/>
      <c r="AF23" s="1230" t="str">
        <f>DATOS!$G$28</f>
        <v>#</v>
      </c>
      <c r="AG23" s="1230"/>
      <c r="AH23" s="1230"/>
      <c r="AI23" s="1230"/>
      <c r="AJ23" s="116" t="s">
        <v>352</v>
      </c>
      <c r="AK23" s="1245" t="str">
        <f>DATOS!$G$29</f>
        <v>#</v>
      </c>
      <c r="AL23" s="1245"/>
      <c r="AM23" s="1245"/>
      <c r="AN23" s="1245"/>
      <c r="AO23" s="1245"/>
      <c r="AP23" s="1245"/>
      <c r="AQ23" s="1245"/>
      <c r="AR23" s="1245"/>
      <c r="AS23" s="1245"/>
      <c r="AT23" s="1245"/>
      <c r="AU23" s="1226" t="s">
        <v>6</v>
      </c>
      <c r="AV23" s="1226"/>
      <c r="AW23" s="1226"/>
      <c r="AX23" s="1226"/>
      <c r="AY23" s="1226"/>
      <c r="AZ23" s="1226"/>
      <c r="BA23" s="1234" t="str">
        <f>DATOS!$G$31</f>
        <v>#</v>
      </c>
      <c r="BB23" s="1234"/>
      <c r="BC23" s="1234"/>
      <c r="BD23" s="1234"/>
      <c r="BE23" s="1234"/>
      <c r="BF23" s="1234"/>
      <c r="BG23" s="1234"/>
      <c r="BH23" s="1234"/>
      <c r="BI23" s="1234"/>
      <c r="BJ23" s="1234"/>
      <c r="BK23" s="1234"/>
      <c r="BL23" s="1234"/>
      <c r="BM23" s="1186"/>
      <c r="BO23" s="116"/>
      <c r="BQ23" s="116"/>
      <c r="BR23" s="116"/>
      <c r="BS23" s="116"/>
    </row>
    <row r="24" spans="1:79" ht="3" customHeight="1">
      <c r="A24" s="1186"/>
      <c r="B24" s="9"/>
      <c r="N24" s="16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16"/>
      <c r="AU24" s="16"/>
      <c r="AV24" s="16"/>
      <c r="AW24" s="16"/>
      <c r="AX24" s="16"/>
      <c r="AY24" s="16"/>
      <c r="AZ24" s="204"/>
      <c r="BA24" s="1234"/>
      <c r="BB24" s="1234"/>
      <c r="BC24" s="1234"/>
      <c r="BD24" s="1234"/>
      <c r="BE24" s="1234"/>
      <c r="BF24" s="1234"/>
      <c r="BG24" s="1234"/>
      <c r="BH24" s="1234"/>
      <c r="BI24" s="1234"/>
      <c r="BJ24" s="1234"/>
      <c r="BK24" s="1234"/>
      <c r="BL24" s="1234"/>
      <c r="BM24" s="1186"/>
    </row>
    <row r="25" spans="1:79" ht="15" customHeight="1">
      <c r="A25" s="1186"/>
      <c r="B25" s="1239" t="s">
        <v>223</v>
      </c>
      <c r="C25" s="1239"/>
      <c r="D25" s="1239"/>
      <c r="E25" s="1239"/>
      <c r="F25" s="1239"/>
      <c r="G25" s="1239"/>
      <c r="H25" s="1239"/>
      <c r="I25" s="1239"/>
      <c r="J25" s="1225" t="s">
        <v>7</v>
      </c>
      <c r="K25" s="1225"/>
      <c r="L25" s="1225"/>
      <c r="M25" s="1224" t="str">
        <f>DATOS!G33</f>
        <v>#</v>
      </c>
      <c r="N25" s="1224"/>
      <c r="O25" s="1224"/>
      <c r="P25" s="1224"/>
      <c r="Q25" s="1225" t="s">
        <v>8</v>
      </c>
      <c r="R25" s="1225"/>
      <c r="S25" s="1225"/>
      <c r="T25" s="1224" t="str">
        <f>DATOS!G34</f>
        <v>#</v>
      </c>
      <c r="U25" s="1224"/>
      <c r="V25" s="1224"/>
      <c r="W25" s="1224"/>
      <c r="X25" s="1225" t="s">
        <v>9</v>
      </c>
      <c r="Y25" s="1225"/>
      <c r="Z25" s="1225"/>
      <c r="AA25" s="1224" t="str">
        <f>DATOS!G35</f>
        <v>#</v>
      </c>
      <c r="AB25" s="1224"/>
      <c r="AC25" s="1224"/>
      <c r="AD25" s="1224"/>
      <c r="AE25" s="1225" t="s">
        <v>183</v>
      </c>
      <c r="AF25" s="1225"/>
      <c r="AG25" s="1225"/>
      <c r="AH25" s="1225"/>
      <c r="AI25" s="1225"/>
      <c r="AJ25" s="1224" t="str">
        <f>DATOS!$G$32</f>
        <v>#</v>
      </c>
      <c r="AK25" s="1224"/>
      <c r="AL25" s="1224"/>
      <c r="AM25" s="1224"/>
      <c r="AN25" s="1224"/>
      <c r="AO25" s="1224"/>
      <c r="AP25" s="1225" t="s">
        <v>10</v>
      </c>
      <c r="AQ25" s="1225"/>
      <c r="AR25" s="1225"/>
      <c r="AS25" s="1224" t="str">
        <f>DATOS!G36</f>
        <v>#</v>
      </c>
      <c r="AT25" s="1224"/>
      <c r="AU25" s="1224"/>
      <c r="AV25" s="1224"/>
      <c r="AW25" s="1224"/>
      <c r="AX25" s="116" t="s">
        <v>185</v>
      </c>
      <c r="AY25" s="207"/>
      <c r="BB25" s="1244" t="str">
        <f>DATOS!$G$38</f>
        <v>#</v>
      </c>
      <c r="BC25" s="1244"/>
      <c r="BD25" s="1244"/>
      <c r="BE25" s="1244"/>
      <c r="BF25" s="8" t="s">
        <v>518</v>
      </c>
      <c r="BH25" s="1244" t="str">
        <f>DATOS!$G$37</f>
        <v>#</v>
      </c>
      <c r="BI25" s="1244"/>
      <c r="BJ25" s="1244"/>
      <c r="BK25" s="1244"/>
      <c r="BM25" s="1186"/>
      <c r="BN25" s="116"/>
    </row>
    <row r="26" spans="1:79" ht="3" customHeight="1">
      <c r="A26" s="1186"/>
      <c r="B26" s="193"/>
      <c r="C26" s="193"/>
      <c r="D26" s="193"/>
      <c r="E26" s="193"/>
      <c r="F26" s="193"/>
      <c r="G26" s="193"/>
      <c r="H26" s="193"/>
      <c r="I26" s="193"/>
      <c r="J26" s="15"/>
      <c r="K26" s="15"/>
      <c r="L26" s="15"/>
      <c r="M26" s="212"/>
      <c r="N26" s="212"/>
      <c r="O26" s="212"/>
      <c r="P26" s="212"/>
      <c r="Q26" s="15"/>
      <c r="R26" s="15"/>
      <c r="S26" s="15"/>
      <c r="T26" s="212"/>
      <c r="U26" s="212"/>
      <c r="V26" s="212"/>
      <c r="W26" s="212"/>
      <c r="X26" s="15"/>
      <c r="Y26" s="15"/>
      <c r="Z26" s="15"/>
      <c r="AA26" s="212"/>
      <c r="AB26" s="212"/>
      <c r="AC26" s="212"/>
      <c r="AD26" s="212"/>
      <c r="AE26" s="15"/>
      <c r="AF26" s="15"/>
      <c r="AG26" s="15"/>
      <c r="AH26" s="15"/>
      <c r="AI26" s="15"/>
      <c r="AJ26" s="212"/>
      <c r="AK26" s="212"/>
      <c r="AL26" s="212"/>
      <c r="AM26" s="212"/>
      <c r="AN26" s="212"/>
      <c r="AO26" s="212"/>
      <c r="AP26" s="15"/>
      <c r="AQ26" s="15"/>
      <c r="AR26" s="15"/>
      <c r="AS26" s="212"/>
      <c r="AT26" s="212"/>
      <c r="AU26" s="212"/>
      <c r="AV26" s="212"/>
      <c r="AW26" s="212"/>
      <c r="AX26" s="212"/>
      <c r="AY26" s="212"/>
      <c r="AZ26" s="116"/>
      <c r="BE26" s="215"/>
      <c r="BF26" s="215"/>
      <c r="BG26" s="215"/>
      <c r="BH26" s="215"/>
      <c r="BI26" s="215"/>
      <c r="BJ26" s="215"/>
      <c r="BK26" s="215"/>
      <c r="BM26" s="1186"/>
    </row>
    <row r="27" spans="1:79" ht="15" customHeight="1">
      <c r="A27" s="1186"/>
      <c r="B27" s="5" t="s">
        <v>220</v>
      </c>
      <c r="C27" s="6"/>
      <c r="D27" s="6"/>
      <c r="E27" s="6"/>
      <c r="F27" s="6"/>
      <c r="G27" s="6"/>
      <c r="H27" s="6"/>
      <c r="I27" s="6"/>
      <c r="J27" s="6"/>
      <c r="K27" s="6"/>
      <c r="L27" s="6"/>
      <c r="BM27" s="1186"/>
      <c r="BN27" s="207"/>
      <c r="BO27" s="207"/>
      <c r="BP27" s="207"/>
      <c r="BQ27" s="207"/>
      <c r="BR27" s="207"/>
      <c r="BS27" s="207"/>
    </row>
    <row r="28" spans="1:79" s="6" customFormat="1" ht="3" customHeight="1">
      <c r="A28" s="1186"/>
      <c r="AO28" s="151"/>
      <c r="AT28" s="151"/>
      <c r="BM28" s="1186"/>
      <c r="BN28" s="117"/>
      <c r="BO28" s="117"/>
      <c r="BP28" s="117"/>
      <c r="BQ28" s="117"/>
      <c r="BR28" s="117"/>
      <c r="BS28" s="117"/>
    </row>
    <row r="29" spans="1:79" ht="12.75" customHeight="1">
      <c r="A29" s="1186"/>
      <c r="B29" s="5" t="s">
        <v>226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BM29" s="1186"/>
      <c r="BO29" s="57"/>
      <c r="BP29" s="57"/>
      <c r="BQ29" s="57"/>
      <c r="BR29" s="57"/>
      <c r="BS29" s="57"/>
      <c r="CA29" s="72"/>
    </row>
    <row r="30" spans="1:79" ht="12.75" customHeight="1">
      <c r="A30" s="1186"/>
      <c r="B30" s="6" t="s">
        <v>227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BM30" s="1186"/>
      <c r="BO30" s="57"/>
      <c r="BP30" s="57"/>
      <c r="BQ30" s="57"/>
      <c r="BR30" s="57"/>
      <c r="BS30" s="57"/>
      <c r="CA30" s="72"/>
    </row>
    <row r="31" spans="1:79" s="6" customFormat="1" ht="23.25">
      <c r="A31" s="1186"/>
      <c r="C31" s="160" t="s">
        <v>218</v>
      </c>
      <c r="D31" s="1222" t="str">
        <f>+'P, ANEXA'!AJ58</f>
        <v>ERROR</v>
      </c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200" t="s">
        <v>49</v>
      </c>
      <c r="Q31" s="1215" t="e">
        <f>DATOS!$E$144</f>
        <v>#NAME?</v>
      </c>
      <c r="R31" s="1215"/>
      <c r="S31" s="1215"/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215"/>
      <c r="AL31" s="1215"/>
      <c r="AM31" s="1215"/>
      <c r="AN31" s="1215"/>
      <c r="AO31" s="1215"/>
      <c r="AP31" s="1215"/>
      <c r="AQ31" s="1215"/>
      <c r="AR31" s="1215"/>
      <c r="AS31" s="1215"/>
      <c r="AT31" s="1215"/>
      <c r="AU31" s="1215"/>
      <c r="AV31" s="1215"/>
      <c r="AW31" s="1215"/>
      <c r="AX31" s="1215"/>
      <c r="AY31" s="1215"/>
      <c r="AZ31" s="1215"/>
      <c r="BA31" s="1215"/>
      <c r="BB31" s="1215"/>
      <c r="BC31" s="1215"/>
      <c r="BD31" s="1215"/>
      <c r="BE31" s="1215"/>
      <c r="BF31" s="1215"/>
      <c r="BG31" s="1215"/>
      <c r="BH31" s="1215"/>
      <c r="BI31" s="1215"/>
      <c r="BJ31" s="1215"/>
      <c r="BK31" s="1215"/>
      <c r="BL31" s="220"/>
      <c r="BM31" s="1186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9" s="6" customFormat="1" ht="3" customHeight="1">
      <c r="A32" s="1186"/>
      <c r="B32" s="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BM32" s="1186"/>
    </row>
    <row r="33" spans="1:256" s="6" customFormat="1" ht="12.75" customHeight="1">
      <c r="A33" s="1186"/>
      <c r="B33" s="5" t="s">
        <v>179</v>
      </c>
      <c r="AJ33" s="1221" t="str">
        <f>DATOS!$G$42</f>
        <v>24 (MESES)</v>
      </c>
      <c r="AK33" s="1221"/>
      <c r="AL33" s="1221"/>
      <c r="AM33" s="1221"/>
      <c r="AN33" s="1221"/>
      <c r="AO33" s="1221"/>
      <c r="AP33" s="1221"/>
      <c r="AQ33" s="1221"/>
      <c r="AR33" s="1221"/>
      <c r="AS33" s="1221"/>
      <c r="AT33" s="1221"/>
      <c r="AU33" s="1221"/>
      <c r="AV33" s="1221"/>
      <c r="AW33" s="1221"/>
      <c r="AX33" s="1221"/>
      <c r="AY33" s="6" t="s">
        <v>171</v>
      </c>
      <c r="BM33" s="1186"/>
    </row>
    <row r="34" spans="1:256" s="6" customFormat="1" ht="12.75" customHeight="1">
      <c r="A34" s="1186"/>
      <c r="B34" s="6" t="s">
        <v>239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BM34" s="1186"/>
    </row>
    <row r="35" spans="1:256" s="6" customFormat="1" ht="3.75" customHeight="1">
      <c r="A35" s="1186"/>
      <c r="B35" s="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BM35" s="1186"/>
    </row>
    <row r="36" spans="1:256" s="6" customFormat="1" ht="12.75" customHeight="1">
      <c r="A36" s="1186"/>
      <c r="B36" s="5" t="s">
        <v>240</v>
      </c>
      <c r="X36" s="12"/>
      <c r="AO36" s="151"/>
      <c r="AT36" s="151"/>
      <c r="BM36" s="1186"/>
    </row>
    <row r="37" spans="1:256" s="6" customFormat="1" ht="12.75" customHeight="1">
      <c r="A37" s="1186"/>
      <c r="B37" s="5"/>
      <c r="H37" s="9" t="str">
        <f>DATOS!G43</f>
        <v xml:space="preserve">50% AL ACEPTAR EL PRESUPUESTO </v>
      </c>
      <c r="Z37" s="9" t="str">
        <f>DATOS!G44</f>
        <v>50% A LA PRESENTACION MUNICIPAL</v>
      </c>
      <c r="AO37" s="151"/>
      <c r="AS37" s="9">
        <f>DATOS!G45</f>
        <v>0</v>
      </c>
      <c r="AT37" s="151"/>
      <c r="BM37" s="1186"/>
    </row>
    <row r="38" spans="1:256" s="6" customFormat="1" ht="14.25" customHeight="1">
      <c r="A38" s="1186"/>
      <c r="B38" s="222" t="s">
        <v>242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1186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</row>
    <row r="39" spans="1:256" s="6" customFormat="1" ht="14.25" customHeight="1">
      <c r="A39" s="1186"/>
      <c r="B39" s="222" t="s">
        <v>241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1186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256" s="6" customFormat="1" ht="3" customHeight="1">
      <c r="A40" s="1186"/>
      <c r="B40" s="5"/>
      <c r="AO40" s="151"/>
      <c r="AT40" s="151"/>
      <c r="BM40" s="1186"/>
    </row>
    <row r="41" spans="1:256" s="6" customFormat="1" ht="12.75" customHeight="1">
      <c r="A41" s="1186"/>
      <c r="B41" s="224" t="s">
        <v>247</v>
      </c>
      <c r="AO41" s="151"/>
      <c r="AT41" s="151"/>
      <c r="BM41" s="1186"/>
    </row>
    <row r="42" spans="1:256" s="6" customFormat="1" ht="12.75" customHeight="1">
      <c r="A42" s="1186"/>
      <c r="B42" s="225" t="s">
        <v>248</v>
      </c>
      <c r="AO42" s="151"/>
      <c r="AT42" s="151"/>
      <c r="BM42" s="1186"/>
    </row>
    <row r="43" spans="1:256" s="6" customFormat="1" ht="3" customHeight="1">
      <c r="A43" s="1186"/>
      <c r="AO43" s="151"/>
      <c r="AT43" s="151"/>
      <c r="BM43" s="1186"/>
    </row>
    <row r="44" spans="1:256" s="6" customFormat="1" ht="14.25" customHeight="1">
      <c r="A44" s="1186"/>
      <c r="B44" s="224" t="s">
        <v>250</v>
      </c>
      <c r="AO44" s="151"/>
      <c r="AT44" s="151"/>
      <c r="BM44" s="1186"/>
    </row>
    <row r="45" spans="1:256" s="6" customFormat="1" ht="3" customHeight="1">
      <c r="A45" s="1186"/>
      <c r="B45" s="223" t="s">
        <v>243</v>
      </c>
      <c r="C45" s="223" t="s">
        <v>243</v>
      </c>
      <c r="D45" s="223" t="s">
        <v>243</v>
      </c>
      <c r="E45" s="223" t="s">
        <v>243</v>
      </c>
      <c r="F45" s="223" t="s">
        <v>243</v>
      </c>
      <c r="G45" s="223" t="s">
        <v>243</v>
      </c>
      <c r="H45" s="223" t="s">
        <v>243</v>
      </c>
      <c r="I45" s="223" t="s">
        <v>243</v>
      </c>
      <c r="J45" s="223" t="s">
        <v>243</v>
      </c>
      <c r="K45" s="223" t="s">
        <v>243</v>
      </c>
      <c r="L45" s="223" t="s">
        <v>243</v>
      </c>
      <c r="M45" s="223" t="s">
        <v>243</v>
      </c>
      <c r="N45" s="223" t="s">
        <v>243</v>
      </c>
      <c r="O45" s="223" t="s">
        <v>243</v>
      </c>
      <c r="P45" s="223" t="s">
        <v>243</v>
      </c>
      <c r="Q45" s="223" t="s">
        <v>243</v>
      </c>
      <c r="R45" s="223" t="s">
        <v>243</v>
      </c>
      <c r="S45" s="223" t="s">
        <v>243</v>
      </c>
      <c r="T45" s="223" t="s">
        <v>243</v>
      </c>
      <c r="U45" s="223" t="s">
        <v>243</v>
      </c>
      <c r="V45" s="223" t="s">
        <v>243</v>
      </c>
      <c r="W45" s="223" t="s">
        <v>243</v>
      </c>
      <c r="X45" s="223" t="s">
        <v>243</v>
      </c>
      <c r="Y45" s="223" t="s">
        <v>243</v>
      </c>
      <c r="Z45" s="223" t="s">
        <v>243</v>
      </c>
      <c r="AA45" s="223" t="s">
        <v>243</v>
      </c>
      <c r="AB45" s="223" t="s">
        <v>243</v>
      </c>
      <c r="AC45" s="223" t="s">
        <v>243</v>
      </c>
      <c r="AD45" s="223" t="s">
        <v>243</v>
      </c>
      <c r="AE45" s="223" t="s">
        <v>243</v>
      </c>
      <c r="AF45" s="223" t="s">
        <v>243</v>
      </c>
      <c r="AG45" s="223" t="s">
        <v>243</v>
      </c>
      <c r="AH45" s="223" t="s">
        <v>243</v>
      </c>
      <c r="AI45" s="223" t="s">
        <v>243</v>
      </c>
      <c r="AJ45" s="223" t="s">
        <v>243</v>
      </c>
      <c r="AK45" s="223" t="s">
        <v>243</v>
      </c>
      <c r="AL45" s="223" t="s">
        <v>243</v>
      </c>
      <c r="AM45" s="223" t="s">
        <v>243</v>
      </c>
      <c r="AN45" s="223" t="s">
        <v>243</v>
      </c>
      <c r="AO45" s="223" t="s">
        <v>243</v>
      </c>
      <c r="AP45" s="223" t="s">
        <v>243</v>
      </c>
      <c r="AQ45" s="223" t="s">
        <v>243</v>
      </c>
      <c r="AR45" s="223" t="s">
        <v>243</v>
      </c>
      <c r="AS45" s="223" t="s">
        <v>243</v>
      </c>
      <c r="AT45" s="223" t="s">
        <v>243</v>
      </c>
      <c r="AU45" s="223" t="s">
        <v>243</v>
      </c>
      <c r="AV45" s="223" t="s">
        <v>243</v>
      </c>
      <c r="AW45" s="223" t="s">
        <v>243</v>
      </c>
      <c r="AX45" s="223" t="s">
        <v>243</v>
      </c>
      <c r="AY45" s="223" t="s">
        <v>243</v>
      </c>
      <c r="AZ45" s="223" t="s">
        <v>243</v>
      </c>
      <c r="BA45" s="223" t="s">
        <v>243</v>
      </c>
      <c r="BB45" s="223" t="s">
        <v>243</v>
      </c>
      <c r="BC45" s="223" t="s">
        <v>243</v>
      </c>
      <c r="BD45" s="223" t="s">
        <v>243</v>
      </c>
      <c r="BE45" s="223" t="s">
        <v>243</v>
      </c>
      <c r="BF45" s="223" t="s">
        <v>243</v>
      </c>
      <c r="BG45" s="223" t="s">
        <v>243</v>
      </c>
      <c r="BH45" s="223" t="s">
        <v>243</v>
      </c>
      <c r="BI45" s="223" t="s">
        <v>243</v>
      </c>
      <c r="BJ45" s="223" t="s">
        <v>243</v>
      </c>
      <c r="BK45" s="223" t="s">
        <v>243</v>
      </c>
      <c r="BL45" s="223" t="s">
        <v>243</v>
      </c>
      <c r="BM45" s="1186"/>
      <c r="BN45" s="223" t="s">
        <v>243</v>
      </c>
      <c r="BO45" s="223" t="s">
        <v>243</v>
      </c>
      <c r="BP45" s="223" t="s">
        <v>243</v>
      </c>
      <c r="BQ45" s="223" t="s">
        <v>243</v>
      </c>
      <c r="BR45" s="223" t="s">
        <v>243</v>
      </c>
      <c r="BS45" s="223" t="s">
        <v>243</v>
      </c>
      <c r="BT45" s="223" t="s">
        <v>243</v>
      </c>
      <c r="BU45" s="223" t="s">
        <v>243</v>
      </c>
      <c r="BV45" s="223" t="s">
        <v>243</v>
      </c>
      <c r="BW45" s="223" t="s">
        <v>243</v>
      </c>
      <c r="BX45" s="223" t="s">
        <v>243</v>
      </c>
      <c r="BY45" s="223" t="s">
        <v>243</v>
      </c>
      <c r="BZ45" s="223" t="s">
        <v>243</v>
      </c>
      <c r="CA45" s="223" t="s">
        <v>243</v>
      </c>
      <c r="CB45" s="223" t="s">
        <v>243</v>
      </c>
      <c r="CC45" s="223" t="s">
        <v>243</v>
      </c>
      <c r="CD45" s="223" t="s">
        <v>243</v>
      </c>
      <c r="CE45" s="223" t="s">
        <v>243</v>
      </c>
      <c r="CF45" s="223" t="s">
        <v>243</v>
      </c>
      <c r="CG45" s="223" t="s">
        <v>243</v>
      </c>
      <c r="CH45" s="223" t="s">
        <v>243</v>
      </c>
      <c r="CI45" s="223" t="s">
        <v>243</v>
      </c>
      <c r="CJ45" s="223" t="s">
        <v>243</v>
      </c>
      <c r="CK45" s="223" t="s">
        <v>243</v>
      </c>
      <c r="CL45" s="223" t="s">
        <v>243</v>
      </c>
      <c r="CM45" s="223" t="s">
        <v>243</v>
      </c>
      <c r="CN45" s="223" t="s">
        <v>243</v>
      </c>
      <c r="CO45" s="223" t="s">
        <v>243</v>
      </c>
      <c r="CP45" s="223" t="s">
        <v>243</v>
      </c>
      <c r="CQ45" s="223" t="s">
        <v>243</v>
      </c>
      <c r="CR45" s="223" t="s">
        <v>243</v>
      </c>
      <c r="CS45" s="223" t="s">
        <v>243</v>
      </c>
      <c r="CT45" s="223" t="s">
        <v>243</v>
      </c>
      <c r="CU45" s="223" t="s">
        <v>243</v>
      </c>
      <c r="CV45" s="223" t="s">
        <v>243</v>
      </c>
      <c r="CW45" s="223" t="s">
        <v>243</v>
      </c>
      <c r="CX45" s="223" t="s">
        <v>243</v>
      </c>
      <c r="CY45" s="223" t="s">
        <v>243</v>
      </c>
      <c r="CZ45" s="223" t="s">
        <v>243</v>
      </c>
      <c r="DA45" s="223" t="s">
        <v>243</v>
      </c>
      <c r="DB45" s="223" t="s">
        <v>243</v>
      </c>
      <c r="DC45" s="223" t="s">
        <v>243</v>
      </c>
      <c r="DD45" s="223" t="s">
        <v>243</v>
      </c>
      <c r="DE45" s="223" t="s">
        <v>243</v>
      </c>
      <c r="DF45" s="223" t="s">
        <v>243</v>
      </c>
      <c r="DG45" s="223" t="s">
        <v>243</v>
      </c>
      <c r="DH45" s="223" t="s">
        <v>243</v>
      </c>
      <c r="DI45" s="223" t="s">
        <v>243</v>
      </c>
      <c r="DJ45" s="223" t="s">
        <v>243</v>
      </c>
      <c r="DK45" s="223" t="s">
        <v>243</v>
      </c>
      <c r="DL45" s="223" t="s">
        <v>243</v>
      </c>
      <c r="DM45" s="223" t="s">
        <v>243</v>
      </c>
      <c r="DN45" s="223" t="s">
        <v>243</v>
      </c>
      <c r="DO45" s="223" t="s">
        <v>243</v>
      </c>
      <c r="DP45" s="223" t="s">
        <v>243</v>
      </c>
      <c r="DQ45" s="223" t="s">
        <v>243</v>
      </c>
      <c r="DR45" s="223" t="s">
        <v>243</v>
      </c>
      <c r="DS45" s="223" t="s">
        <v>243</v>
      </c>
      <c r="DT45" s="223" t="s">
        <v>243</v>
      </c>
      <c r="DU45" s="223" t="s">
        <v>243</v>
      </c>
      <c r="DV45" s="223" t="s">
        <v>243</v>
      </c>
      <c r="DW45" s="223" t="s">
        <v>243</v>
      </c>
      <c r="DX45" s="223" t="s">
        <v>243</v>
      </c>
      <c r="DY45" s="223" t="s">
        <v>243</v>
      </c>
      <c r="DZ45" s="223" t="s">
        <v>243</v>
      </c>
      <c r="EA45" s="223" t="s">
        <v>243</v>
      </c>
      <c r="EB45" s="223" t="s">
        <v>243</v>
      </c>
      <c r="EC45" s="223" t="s">
        <v>243</v>
      </c>
      <c r="ED45" s="223" t="s">
        <v>243</v>
      </c>
      <c r="EE45" s="223" t="s">
        <v>243</v>
      </c>
      <c r="EF45" s="223" t="s">
        <v>243</v>
      </c>
      <c r="EG45" s="223" t="s">
        <v>243</v>
      </c>
      <c r="EH45" s="223" t="s">
        <v>243</v>
      </c>
      <c r="EI45" s="223" t="s">
        <v>243</v>
      </c>
      <c r="EJ45" s="223" t="s">
        <v>243</v>
      </c>
      <c r="EK45" s="223" t="s">
        <v>243</v>
      </c>
      <c r="EL45" s="223" t="s">
        <v>243</v>
      </c>
      <c r="EM45" s="223" t="s">
        <v>243</v>
      </c>
      <c r="EN45" s="223" t="s">
        <v>243</v>
      </c>
      <c r="EO45" s="223" t="s">
        <v>243</v>
      </c>
      <c r="EP45" s="223" t="s">
        <v>243</v>
      </c>
      <c r="EQ45" s="223" t="s">
        <v>243</v>
      </c>
      <c r="ER45" s="223" t="s">
        <v>243</v>
      </c>
      <c r="ES45" s="223" t="s">
        <v>243</v>
      </c>
      <c r="ET45" s="223" t="s">
        <v>243</v>
      </c>
      <c r="EU45" s="223" t="s">
        <v>243</v>
      </c>
      <c r="EV45" s="223" t="s">
        <v>243</v>
      </c>
      <c r="EW45" s="223" t="s">
        <v>243</v>
      </c>
      <c r="EX45" s="223" t="s">
        <v>243</v>
      </c>
      <c r="EY45" s="223" t="s">
        <v>243</v>
      </c>
      <c r="EZ45" s="223" t="s">
        <v>243</v>
      </c>
      <c r="FA45" s="223" t="s">
        <v>243</v>
      </c>
      <c r="FB45" s="223" t="s">
        <v>243</v>
      </c>
      <c r="FC45" s="223" t="s">
        <v>243</v>
      </c>
      <c r="FD45" s="223" t="s">
        <v>243</v>
      </c>
      <c r="FE45" s="223" t="s">
        <v>243</v>
      </c>
      <c r="FF45" s="223" t="s">
        <v>243</v>
      </c>
      <c r="FG45" s="223" t="s">
        <v>243</v>
      </c>
      <c r="FH45" s="223" t="s">
        <v>243</v>
      </c>
      <c r="FI45" s="223" t="s">
        <v>243</v>
      </c>
      <c r="FJ45" s="223" t="s">
        <v>243</v>
      </c>
      <c r="FK45" s="223" t="s">
        <v>243</v>
      </c>
      <c r="FL45" s="223" t="s">
        <v>243</v>
      </c>
      <c r="FM45" s="223" t="s">
        <v>243</v>
      </c>
      <c r="FN45" s="223" t="s">
        <v>243</v>
      </c>
      <c r="FO45" s="223" t="s">
        <v>243</v>
      </c>
      <c r="FP45" s="223" t="s">
        <v>243</v>
      </c>
      <c r="FQ45" s="223" t="s">
        <v>243</v>
      </c>
      <c r="FR45" s="223" t="s">
        <v>243</v>
      </c>
      <c r="FS45" s="223" t="s">
        <v>243</v>
      </c>
      <c r="FT45" s="223" t="s">
        <v>243</v>
      </c>
      <c r="FU45" s="223" t="s">
        <v>243</v>
      </c>
      <c r="FV45" s="223" t="s">
        <v>243</v>
      </c>
      <c r="FW45" s="223" t="s">
        <v>243</v>
      </c>
      <c r="FX45" s="223" t="s">
        <v>243</v>
      </c>
      <c r="FY45" s="223" t="s">
        <v>243</v>
      </c>
      <c r="FZ45" s="223" t="s">
        <v>243</v>
      </c>
      <c r="GA45" s="223" t="s">
        <v>243</v>
      </c>
      <c r="GB45" s="223" t="s">
        <v>243</v>
      </c>
      <c r="GC45" s="223" t="s">
        <v>243</v>
      </c>
      <c r="GD45" s="223" t="s">
        <v>243</v>
      </c>
      <c r="GE45" s="223" t="s">
        <v>243</v>
      </c>
      <c r="GF45" s="223" t="s">
        <v>243</v>
      </c>
      <c r="GG45" s="223" t="s">
        <v>243</v>
      </c>
      <c r="GH45" s="223" t="s">
        <v>243</v>
      </c>
      <c r="GI45" s="223" t="s">
        <v>243</v>
      </c>
      <c r="GJ45" s="223" t="s">
        <v>243</v>
      </c>
      <c r="GK45" s="223" t="s">
        <v>243</v>
      </c>
      <c r="GL45" s="223" t="s">
        <v>243</v>
      </c>
      <c r="GM45" s="223" t="s">
        <v>243</v>
      </c>
      <c r="GN45" s="223" t="s">
        <v>243</v>
      </c>
      <c r="GO45" s="223" t="s">
        <v>243</v>
      </c>
      <c r="GP45" s="223" t="s">
        <v>243</v>
      </c>
      <c r="GQ45" s="223" t="s">
        <v>243</v>
      </c>
      <c r="GR45" s="223" t="s">
        <v>243</v>
      </c>
      <c r="GS45" s="223" t="s">
        <v>243</v>
      </c>
      <c r="GT45" s="223" t="s">
        <v>243</v>
      </c>
      <c r="GU45" s="223" t="s">
        <v>243</v>
      </c>
      <c r="GV45" s="223" t="s">
        <v>243</v>
      </c>
      <c r="GW45" s="223" t="s">
        <v>243</v>
      </c>
      <c r="GX45" s="223" t="s">
        <v>243</v>
      </c>
      <c r="GY45" s="223" t="s">
        <v>243</v>
      </c>
      <c r="GZ45" s="223" t="s">
        <v>243</v>
      </c>
      <c r="HA45" s="223" t="s">
        <v>243</v>
      </c>
      <c r="HB45" s="223" t="s">
        <v>243</v>
      </c>
      <c r="HC45" s="223" t="s">
        <v>243</v>
      </c>
      <c r="HD45" s="223" t="s">
        <v>243</v>
      </c>
      <c r="HE45" s="223" t="s">
        <v>243</v>
      </c>
      <c r="HF45" s="223" t="s">
        <v>243</v>
      </c>
      <c r="HG45" s="223" t="s">
        <v>243</v>
      </c>
      <c r="HH45" s="223" t="s">
        <v>243</v>
      </c>
      <c r="HI45" s="223" t="s">
        <v>243</v>
      </c>
      <c r="HJ45" s="223" t="s">
        <v>243</v>
      </c>
      <c r="HK45" s="223" t="s">
        <v>243</v>
      </c>
      <c r="HL45" s="223" t="s">
        <v>243</v>
      </c>
      <c r="HM45" s="223" t="s">
        <v>243</v>
      </c>
      <c r="HN45" s="223" t="s">
        <v>243</v>
      </c>
      <c r="HO45" s="223" t="s">
        <v>243</v>
      </c>
      <c r="HP45" s="223" t="s">
        <v>243</v>
      </c>
      <c r="HQ45" s="223" t="s">
        <v>243</v>
      </c>
      <c r="HR45" s="223" t="s">
        <v>243</v>
      </c>
      <c r="HS45" s="223" t="s">
        <v>243</v>
      </c>
      <c r="HT45" s="223" t="s">
        <v>243</v>
      </c>
      <c r="HU45" s="223" t="s">
        <v>243</v>
      </c>
      <c r="HV45" s="223" t="s">
        <v>243</v>
      </c>
      <c r="HW45" s="223" t="s">
        <v>243</v>
      </c>
      <c r="HX45" s="223" t="s">
        <v>243</v>
      </c>
      <c r="HY45" s="223" t="s">
        <v>243</v>
      </c>
      <c r="HZ45" s="223" t="s">
        <v>243</v>
      </c>
      <c r="IA45" s="223" t="s">
        <v>243</v>
      </c>
      <c r="IB45" s="223" t="s">
        <v>243</v>
      </c>
      <c r="IC45" s="223" t="s">
        <v>243</v>
      </c>
      <c r="ID45" s="223" t="s">
        <v>243</v>
      </c>
      <c r="IE45" s="223" t="s">
        <v>243</v>
      </c>
      <c r="IF45" s="223" t="s">
        <v>243</v>
      </c>
      <c r="IG45" s="223" t="s">
        <v>243</v>
      </c>
      <c r="IH45" s="223" t="s">
        <v>243</v>
      </c>
      <c r="II45" s="223" t="s">
        <v>243</v>
      </c>
      <c r="IJ45" s="223" t="s">
        <v>243</v>
      </c>
      <c r="IK45" s="223" t="s">
        <v>243</v>
      </c>
      <c r="IL45" s="223" t="s">
        <v>243</v>
      </c>
      <c r="IM45" s="223" t="s">
        <v>243</v>
      </c>
      <c r="IN45" s="223" t="s">
        <v>243</v>
      </c>
      <c r="IO45" s="223" t="s">
        <v>243</v>
      </c>
      <c r="IP45" s="223" t="s">
        <v>243</v>
      </c>
      <c r="IQ45" s="223" t="s">
        <v>243</v>
      </c>
      <c r="IR45" s="223" t="s">
        <v>243</v>
      </c>
      <c r="IS45" s="223" t="s">
        <v>243</v>
      </c>
      <c r="IT45" s="223" t="s">
        <v>243</v>
      </c>
      <c r="IU45" s="223" t="s">
        <v>243</v>
      </c>
      <c r="IV45" s="223" t="s">
        <v>243</v>
      </c>
    </row>
    <row r="46" spans="1:256" s="6" customFormat="1" ht="12.75" customHeight="1">
      <c r="A46" s="1186"/>
      <c r="B46" s="5" t="s">
        <v>244</v>
      </c>
      <c r="AO46" s="151"/>
      <c r="AT46" s="151"/>
      <c r="BM46" s="1186"/>
    </row>
    <row r="47" spans="1:256" s="6" customFormat="1" ht="12.75" customHeight="1">
      <c r="A47" s="1186"/>
      <c r="B47" s="4" t="s">
        <v>657</v>
      </c>
      <c r="AO47" s="151"/>
      <c r="AT47" s="151"/>
      <c r="BM47" s="1186"/>
    </row>
    <row r="48" spans="1:256" s="6" customFormat="1" ht="12.75" customHeight="1">
      <c r="A48" s="1186"/>
      <c r="B48" s="4" t="s">
        <v>658</v>
      </c>
      <c r="AO48" s="151"/>
      <c r="AT48" s="151"/>
      <c r="BM48" s="1186"/>
    </row>
    <row r="49" spans="1:65" s="6" customFormat="1" ht="12.75" customHeight="1">
      <c r="A49" s="1186"/>
      <c r="B49" s="4" t="s">
        <v>656</v>
      </c>
      <c r="AO49" s="151"/>
      <c r="AT49" s="151"/>
      <c r="BM49" s="1186"/>
    </row>
    <row r="50" spans="1:65" s="6" customFormat="1" ht="3.75" customHeight="1">
      <c r="A50" s="1186"/>
      <c r="AO50" s="151"/>
      <c r="AT50" s="151"/>
      <c r="BM50" s="1186"/>
    </row>
    <row r="51" spans="1:65" s="6" customFormat="1" ht="12.75" customHeight="1">
      <c r="A51" s="1186"/>
      <c r="B51" s="5" t="s">
        <v>245</v>
      </c>
      <c r="G51" s="5"/>
      <c r="H51" s="5"/>
      <c r="I51" s="5"/>
      <c r="AG51" s="1246" t="str">
        <f>DATOS!$G$46</f>
        <v>#</v>
      </c>
      <c r="AH51" s="1246"/>
      <c r="AI51" s="1246"/>
      <c r="AJ51" s="1246"/>
      <c r="AK51" s="1246"/>
      <c r="AL51" s="1246"/>
      <c r="AM51" s="1246"/>
      <c r="AN51" s="1246"/>
      <c r="AO51" s="1246"/>
      <c r="AP51" s="1246"/>
      <c r="AQ51" s="1246"/>
      <c r="AR51" s="1246"/>
      <c r="AS51" s="1246"/>
      <c r="AT51" s="1246"/>
      <c r="AU51" s="1246"/>
      <c r="AV51" s="1246"/>
      <c r="AW51" s="1246"/>
      <c r="AX51" s="1246"/>
      <c r="AY51" s="1246"/>
      <c r="AZ51" s="1246"/>
      <c r="BA51" s="1246"/>
      <c r="BB51" s="1246"/>
      <c r="BC51" s="1246"/>
      <c r="BD51" s="1246"/>
      <c r="BE51" s="1246"/>
      <c r="BF51" s="1246"/>
      <c r="BG51" s="1246"/>
      <c r="BH51" s="1246"/>
      <c r="BI51" s="1246"/>
      <c r="BJ51" s="1246"/>
      <c r="BK51" s="1246"/>
      <c r="BL51" s="1246"/>
      <c r="BM51" s="1186"/>
    </row>
    <row r="52" spans="1:65" s="6" customFormat="1" ht="3" customHeight="1">
      <c r="A52" s="1186"/>
      <c r="B52" s="5"/>
      <c r="G52" s="5"/>
      <c r="H52" s="5"/>
      <c r="I52" s="5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M52" s="1186"/>
    </row>
    <row r="53" spans="1:65" s="6" customFormat="1" ht="12.75" customHeight="1">
      <c r="A53" s="1186"/>
      <c r="B53" s="5" t="s">
        <v>246</v>
      </c>
      <c r="AO53" s="151"/>
      <c r="AT53" s="151"/>
      <c r="BM53" s="1186"/>
    </row>
    <row r="54" spans="1:65" s="6" customFormat="1" ht="15.75" customHeight="1">
      <c r="A54" s="1186"/>
      <c r="H54" s="1187" t="str">
        <f>DATOS!$G$47</f>
        <v>ORIGINARIO</v>
      </c>
      <c r="I54" s="1187"/>
      <c r="J54" s="1187"/>
      <c r="K54" s="1187"/>
      <c r="L54" s="1187"/>
      <c r="M54" s="1187"/>
      <c r="N54" s="1187"/>
      <c r="O54" s="1187"/>
      <c r="P54" s="1187"/>
      <c r="R54" s="1235" t="str">
        <f>IF(H54="AMPLIATORIO","DEL CONTRATO DE FECHA","  ")</f>
        <v xml:space="preserve">  </v>
      </c>
      <c r="S54" s="1235"/>
      <c r="T54" s="1235"/>
      <c r="U54" s="1235"/>
      <c r="V54" s="1235"/>
      <c r="W54" s="1235"/>
      <c r="X54" s="1235"/>
      <c r="Y54" s="1235"/>
      <c r="Z54" s="1235"/>
      <c r="AA54" s="1235"/>
      <c r="AB54" s="1235"/>
      <c r="AC54" s="1235"/>
      <c r="AD54" s="1235"/>
      <c r="AE54" s="1235"/>
      <c r="AF54" s="1235"/>
      <c r="AG54" s="1235"/>
      <c r="AH54" s="1235"/>
      <c r="AI54" s="1235"/>
      <c r="AJ54" s="1188" t="str">
        <f>DATOS!$Q$52</f>
        <v xml:space="preserve">   </v>
      </c>
      <c r="AK54" s="1188"/>
      <c r="AL54" s="1188"/>
      <c r="AM54" s="1188"/>
      <c r="AN54" s="1188"/>
      <c r="AO54" s="1188"/>
      <c r="AP54" s="1188"/>
      <c r="AR54" s="1227" t="str">
        <f>IF(H54="ORIGINARIO","  ","DE PESOS")</f>
        <v xml:space="preserve">  </v>
      </c>
      <c r="AS54" s="1227"/>
      <c r="AT54" s="1227"/>
      <c r="AU54" s="1227"/>
      <c r="AV54" s="1227"/>
      <c r="AW54" s="1227"/>
      <c r="AX54" s="1227"/>
      <c r="AY54" s="1243" t="str">
        <f>IF(H54="AMPLIATORIO",DATOS!$G$50,"  ")</f>
        <v xml:space="preserve">  </v>
      </c>
      <c r="AZ54" s="1243"/>
      <c r="BA54" s="1243"/>
      <c r="BB54" s="1243"/>
      <c r="BC54" s="1243"/>
      <c r="BD54" s="1243"/>
      <c r="BE54" s="1243"/>
      <c r="BF54" s="1243"/>
      <c r="BG54" s="1243"/>
      <c r="BM54" s="1186"/>
    </row>
    <row r="55" spans="1:65" s="6" customFormat="1" ht="3" customHeight="1">
      <c r="A55" s="1186"/>
      <c r="H55" s="151"/>
      <c r="AO55" s="151"/>
      <c r="AT55" s="151"/>
      <c r="BM55" s="1186"/>
    </row>
    <row r="56" spans="1:65" s="6" customFormat="1" ht="15">
      <c r="A56" s="1186"/>
      <c r="B56" s="231" t="s">
        <v>255</v>
      </c>
      <c r="I56" s="6" t="s">
        <v>254</v>
      </c>
      <c r="AO56" s="151"/>
      <c r="AT56" s="151"/>
      <c r="BM56" s="1186"/>
    </row>
    <row r="57" spans="1:65" s="6" customFormat="1" ht="12.75" customHeight="1">
      <c r="A57" s="1186"/>
      <c r="B57" s="6" t="s">
        <v>214</v>
      </c>
      <c r="AO57" s="151"/>
      <c r="AT57" s="1220" t="str">
        <f>DATOS!$G$52</f>
        <v>#</v>
      </c>
      <c r="AU57" s="1220"/>
      <c r="AV57" s="1220"/>
      <c r="AW57" s="1220"/>
      <c r="AX57" s="1220"/>
      <c r="AY57" s="1220"/>
      <c r="AZ57" s="1220"/>
      <c r="BA57" s="1220"/>
      <c r="BB57" s="1220"/>
      <c r="BC57" s="1220"/>
      <c r="BD57" s="1220"/>
      <c r="BE57" s="1220"/>
      <c r="BF57" s="1220"/>
      <c r="BG57" s="1220"/>
      <c r="BH57" s="1220"/>
      <c r="BI57" s="1220"/>
      <c r="BJ57" s="1220"/>
      <c r="BK57" s="1220"/>
      <c r="BM57" s="1186"/>
    </row>
    <row r="58" spans="1:65" s="6" customFormat="1" ht="12.75" customHeight="1">
      <c r="A58" s="1186"/>
      <c r="B58" s="6" t="s">
        <v>215</v>
      </c>
      <c r="AO58" s="151"/>
      <c r="AT58" s="151"/>
      <c r="BM58" s="1186"/>
    </row>
    <row r="59" spans="1:65" s="6" customFormat="1" ht="3" customHeight="1">
      <c r="A59" s="1186"/>
      <c r="AO59" s="151"/>
      <c r="AT59" s="151"/>
      <c r="BM59" s="1186"/>
    </row>
    <row r="60" spans="1:65" s="6" customFormat="1" ht="12.75" customHeight="1">
      <c r="A60" s="1186"/>
      <c r="B60" s="1189" t="str">
        <f>+IF(DATOS!X201+DATOS!X211&gt;0,"Articulo 12:","  ")</f>
        <v xml:space="preserve">  </v>
      </c>
      <c r="C60" s="1189"/>
      <c r="D60" s="1189"/>
      <c r="E60" s="1189"/>
      <c r="F60" s="1189"/>
      <c r="G60" s="1189"/>
      <c r="H60" s="1189"/>
      <c r="I60" s="1213" t="str">
        <f>+IF(DATOS!X201+DATOS!X211&gt;0,"El  comitente  toma  a  su  EXCLUSIVO  cargo  la  EJECUCION  de  la  obra  como  EMPRESARIO por administracion. Quedando especificamente estipulado que el ROL profesional NO trae aparejado el cumplimiento del ROL de empresario.","   ")</f>
        <v xml:space="preserve">   </v>
      </c>
      <c r="J60" s="1213"/>
      <c r="K60" s="1213"/>
      <c r="L60" s="1213"/>
      <c r="M60" s="1213"/>
      <c r="N60" s="1213"/>
      <c r="O60" s="1213"/>
      <c r="P60" s="1213"/>
      <c r="Q60" s="1213"/>
      <c r="R60" s="1213"/>
      <c r="S60" s="1213"/>
      <c r="T60" s="1213"/>
      <c r="U60" s="1213"/>
      <c r="V60" s="1213"/>
      <c r="W60" s="1213"/>
      <c r="X60" s="1213"/>
      <c r="Y60" s="1213"/>
      <c r="Z60" s="1213"/>
      <c r="AA60" s="1213"/>
      <c r="AB60" s="1213"/>
      <c r="AC60" s="1213"/>
      <c r="AD60" s="1213"/>
      <c r="AE60" s="1213"/>
      <c r="AF60" s="1213"/>
      <c r="AG60" s="1213"/>
      <c r="AH60" s="1213"/>
      <c r="AI60" s="1213"/>
      <c r="AJ60" s="1213"/>
      <c r="AK60" s="1213"/>
      <c r="AL60" s="1213"/>
      <c r="AM60" s="1213"/>
      <c r="AN60" s="1213"/>
      <c r="AO60" s="1213"/>
      <c r="AP60" s="1213"/>
      <c r="AQ60" s="1213"/>
      <c r="AR60" s="1213"/>
      <c r="AS60" s="1213"/>
      <c r="AT60" s="1213"/>
      <c r="AU60" s="1213"/>
      <c r="AV60" s="1213"/>
      <c r="AW60" s="1213"/>
      <c r="AX60" s="1213"/>
      <c r="AY60" s="1213"/>
      <c r="AZ60" s="1213"/>
      <c r="BA60" s="1213"/>
      <c r="BB60" s="1213"/>
      <c r="BC60" s="1213"/>
      <c r="BD60" s="1213"/>
      <c r="BE60" s="1213"/>
      <c r="BF60" s="1213"/>
      <c r="BG60" s="1213"/>
      <c r="BH60" s="1213"/>
      <c r="BI60" s="1213"/>
      <c r="BJ60" s="1213"/>
      <c r="BK60" s="1213"/>
      <c r="BL60" s="1213"/>
      <c r="BM60" s="1186"/>
    </row>
    <row r="61" spans="1:65" s="6" customFormat="1" ht="14.25" customHeight="1">
      <c r="A61" s="1186"/>
      <c r="F61" s="226"/>
      <c r="I61" s="1213"/>
      <c r="J61" s="1213"/>
      <c r="K61" s="1213"/>
      <c r="L61" s="1213"/>
      <c r="M61" s="1213"/>
      <c r="N61" s="1213"/>
      <c r="O61" s="1213"/>
      <c r="P61" s="1213"/>
      <c r="Q61" s="1213"/>
      <c r="R61" s="1213"/>
      <c r="S61" s="1213"/>
      <c r="T61" s="1213"/>
      <c r="U61" s="1213"/>
      <c r="V61" s="1213"/>
      <c r="W61" s="1213"/>
      <c r="X61" s="1213"/>
      <c r="Y61" s="1213"/>
      <c r="Z61" s="1213"/>
      <c r="AA61" s="1213"/>
      <c r="AB61" s="1213"/>
      <c r="AC61" s="1213"/>
      <c r="AD61" s="1213"/>
      <c r="AE61" s="1213"/>
      <c r="AF61" s="1213"/>
      <c r="AG61" s="1213"/>
      <c r="AH61" s="1213"/>
      <c r="AI61" s="1213"/>
      <c r="AJ61" s="1213"/>
      <c r="AK61" s="1213"/>
      <c r="AL61" s="1213"/>
      <c r="AM61" s="1213"/>
      <c r="AN61" s="1213"/>
      <c r="AO61" s="1213"/>
      <c r="AP61" s="1213"/>
      <c r="AQ61" s="1213"/>
      <c r="AR61" s="1213"/>
      <c r="AS61" s="1213"/>
      <c r="AT61" s="1213"/>
      <c r="AU61" s="1213"/>
      <c r="AV61" s="1213"/>
      <c r="AW61" s="1213"/>
      <c r="AX61" s="1213"/>
      <c r="AY61" s="1213"/>
      <c r="AZ61" s="1213"/>
      <c r="BA61" s="1213"/>
      <c r="BB61" s="1213"/>
      <c r="BC61" s="1213"/>
      <c r="BD61" s="1213"/>
      <c r="BE61" s="1213"/>
      <c r="BF61" s="1213"/>
      <c r="BG61" s="1213"/>
      <c r="BH61" s="1213"/>
      <c r="BI61" s="1213"/>
      <c r="BJ61" s="1213"/>
      <c r="BK61" s="1213"/>
      <c r="BL61" s="1213"/>
      <c r="BM61" s="1186"/>
    </row>
    <row r="62" spans="1:65" s="6" customFormat="1" ht="3" customHeight="1">
      <c r="A62" s="1186"/>
      <c r="AO62" s="151"/>
      <c r="AT62" s="151"/>
      <c r="BM62" s="1186"/>
    </row>
    <row r="63" spans="1:65" s="6" customFormat="1" ht="12.75" customHeight="1">
      <c r="A63" s="1186"/>
      <c r="B63" s="1189" t="str">
        <f>+IF(DATOS!X201+DATOS!X211&gt;0,"Articulo 13:","  ")</f>
        <v xml:space="preserve">  </v>
      </c>
      <c r="C63" s="1189"/>
      <c r="D63" s="1189"/>
      <c r="E63" s="1189"/>
      <c r="F63" s="1189"/>
      <c r="G63" s="1189"/>
      <c r="H63" s="1189"/>
      <c r="I63" s="1214" t="str">
        <f>+IF(DATOS!X201+DATOS!X211&gt;0,"En virtud de lo establecido en el aticulo 12º es de exclusiva responsabilidad del Comitente, en su ROL de empresario, la contratacion de todo el personal, en forma directa o por medio de empresas contratistas y/o subcontratistas para "," ")</f>
        <v xml:space="preserve"> </v>
      </c>
      <c r="J63" s="1214"/>
      <c r="K63" s="1214"/>
      <c r="L63" s="1214"/>
      <c r="M63" s="1214"/>
      <c r="N63" s="1214"/>
      <c r="O63" s="1214"/>
      <c r="P63" s="1214"/>
      <c r="Q63" s="1214"/>
      <c r="R63" s="1214"/>
      <c r="S63" s="1214"/>
      <c r="T63" s="1214"/>
      <c r="U63" s="1214"/>
      <c r="V63" s="1214"/>
      <c r="W63" s="1214"/>
      <c r="X63" s="1214"/>
      <c r="Y63" s="1214"/>
      <c r="Z63" s="1214"/>
      <c r="AA63" s="1214"/>
      <c r="AB63" s="1214"/>
      <c r="AC63" s="1214"/>
      <c r="AD63" s="1214"/>
      <c r="AE63" s="1214"/>
      <c r="AF63" s="1214"/>
      <c r="AG63" s="1214"/>
      <c r="AH63" s="1214"/>
      <c r="AI63" s="1214"/>
      <c r="AJ63" s="1214"/>
      <c r="AK63" s="1214"/>
      <c r="AL63" s="1214"/>
      <c r="AM63" s="1214"/>
      <c r="AN63" s="1214"/>
      <c r="AO63" s="1214"/>
      <c r="AP63" s="1214"/>
      <c r="AQ63" s="1214"/>
      <c r="AR63" s="1214"/>
      <c r="AS63" s="1214"/>
      <c r="AT63" s="1214"/>
      <c r="AU63" s="1214"/>
      <c r="AV63" s="1214"/>
      <c r="AW63" s="1214"/>
      <c r="AX63" s="1214"/>
      <c r="AY63" s="1214"/>
      <c r="AZ63" s="1214"/>
      <c r="BA63" s="1214"/>
      <c r="BB63" s="1214"/>
      <c r="BC63" s="1214"/>
      <c r="BD63" s="1214"/>
      <c r="BE63" s="1214"/>
      <c r="BF63" s="1214"/>
      <c r="BG63" s="1214"/>
      <c r="BH63" s="1214"/>
      <c r="BI63" s="1214"/>
      <c r="BJ63" s="1214"/>
      <c r="BK63" s="1214"/>
      <c r="BL63" s="1214"/>
      <c r="BM63" s="1186"/>
    </row>
    <row r="64" spans="1:65" s="6" customFormat="1" ht="15" customHeight="1">
      <c r="A64" s="1186"/>
      <c r="B64" s="9"/>
      <c r="C64" s="8"/>
      <c r="E64" s="8"/>
      <c r="F64" s="5" t="s">
        <v>39</v>
      </c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1214"/>
      <c r="AE64" s="1214"/>
      <c r="AF64" s="1214"/>
      <c r="AG64" s="1214"/>
      <c r="AH64" s="1214"/>
      <c r="AI64" s="1214"/>
      <c r="AJ64" s="1214"/>
      <c r="AK64" s="1214"/>
      <c r="AL64" s="1214"/>
      <c r="AM64" s="1214"/>
      <c r="AN64" s="1214"/>
      <c r="AO64" s="1214"/>
      <c r="AP64" s="1214"/>
      <c r="AQ64" s="1214"/>
      <c r="AR64" s="1214"/>
      <c r="AS64" s="1214"/>
      <c r="AT64" s="1214"/>
      <c r="AU64" s="1214"/>
      <c r="AV64" s="1214"/>
      <c r="AW64" s="1214"/>
      <c r="AX64" s="1214"/>
      <c r="AY64" s="1214"/>
      <c r="AZ64" s="1214"/>
      <c r="BA64" s="1214"/>
      <c r="BB64" s="1214"/>
      <c r="BC64" s="1214"/>
      <c r="BD64" s="1214"/>
      <c r="BE64" s="1214"/>
      <c r="BF64" s="1214"/>
      <c r="BG64" s="1214"/>
      <c r="BH64" s="1214"/>
      <c r="BI64" s="1214"/>
      <c r="BJ64" s="1214"/>
      <c r="BK64" s="1214"/>
      <c r="BL64" s="1214"/>
      <c r="BM64" s="1186"/>
    </row>
    <row r="65" spans="1:79" s="6" customFormat="1" ht="15" customHeight="1">
      <c r="A65" s="1186"/>
      <c r="B65" s="9"/>
      <c r="C65" s="8"/>
      <c r="E65" s="8"/>
      <c r="F65" s="5"/>
      <c r="I65" s="1219" t="str">
        <f>+IF(DATOS!X201+DATOS!X211&gt;0,"la ejecucion de la obra. En consecuencia, dentro de las obligaciones asumidas por el profesional tecnico quedan expresamente excluidas y NO comprendidas dentro de las obligaciones asumidas las siguientes tareas:","  ")</f>
        <v xml:space="preserve">  </v>
      </c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19"/>
      <c r="AD65" s="1219"/>
      <c r="AE65" s="1219"/>
      <c r="AF65" s="1219"/>
      <c r="AG65" s="1219"/>
      <c r="AH65" s="1219"/>
      <c r="AI65" s="1219"/>
      <c r="AJ65" s="1219"/>
      <c r="AK65" s="1219"/>
      <c r="AL65" s="1219"/>
      <c r="AM65" s="1219"/>
      <c r="AN65" s="1219"/>
      <c r="AO65" s="1219"/>
      <c r="AP65" s="1219"/>
      <c r="AQ65" s="1219"/>
      <c r="AR65" s="1219"/>
      <c r="AS65" s="1219"/>
      <c r="AT65" s="1219"/>
      <c r="AU65" s="1219"/>
      <c r="AV65" s="1219"/>
      <c r="AW65" s="1219"/>
      <c r="AX65" s="1219"/>
      <c r="AY65" s="1219"/>
      <c r="AZ65" s="1219"/>
      <c r="BA65" s="1219"/>
      <c r="BB65" s="1219"/>
      <c r="BC65" s="1219"/>
      <c r="BD65" s="1219"/>
      <c r="BE65" s="1219"/>
      <c r="BF65" s="1219"/>
      <c r="BG65" s="1219"/>
      <c r="BH65" s="1219"/>
      <c r="BI65" s="1219"/>
      <c r="BJ65" s="1219"/>
      <c r="BK65" s="1219"/>
      <c r="BL65" s="855"/>
      <c r="BM65" s="1186"/>
    </row>
    <row r="66" spans="1:79" s="6" customFormat="1" ht="15" customHeight="1">
      <c r="A66" s="1186"/>
      <c r="B66" s="8"/>
      <c r="C66" s="8"/>
      <c r="E66" s="8"/>
      <c r="F66" s="227" t="s">
        <v>39</v>
      </c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19"/>
      <c r="AH66" s="1219"/>
      <c r="AI66" s="1219"/>
      <c r="AJ66" s="1219"/>
      <c r="AK66" s="1219"/>
      <c r="AL66" s="1219"/>
      <c r="AM66" s="1219"/>
      <c r="AN66" s="1219"/>
      <c r="AO66" s="1219"/>
      <c r="AP66" s="1219"/>
      <c r="AQ66" s="1219"/>
      <c r="AR66" s="1219"/>
      <c r="AS66" s="1219"/>
      <c r="AT66" s="1219"/>
      <c r="AU66" s="1219"/>
      <c r="AV66" s="1219"/>
      <c r="AW66" s="1219"/>
      <c r="AX66" s="1219"/>
      <c r="AY66" s="1219"/>
      <c r="AZ66" s="1219"/>
      <c r="BA66" s="1219"/>
      <c r="BB66" s="1219"/>
      <c r="BC66" s="1219"/>
      <c r="BD66" s="1219"/>
      <c r="BE66" s="1219"/>
      <c r="BF66" s="1219"/>
      <c r="BG66" s="1219"/>
      <c r="BH66" s="1219"/>
      <c r="BI66" s="1219"/>
      <c r="BJ66" s="1219"/>
      <c r="BK66" s="1219"/>
      <c r="BL66" s="856"/>
      <c r="BM66" s="1186"/>
    </row>
    <row r="67" spans="1:79" s="6" customFormat="1" ht="12.75" customHeight="1">
      <c r="A67" s="1186"/>
      <c r="F67" s="1217" t="str">
        <f>+IF(DATOS!X201+DATOS!X211&gt;0,"a)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 xml:space="preserve">  </v>
      </c>
      <c r="G67" s="1217"/>
      <c r="H67" s="1217"/>
      <c r="I67" s="1217"/>
      <c r="J67" s="1217"/>
      <c r="K67" s="1217"/>
      <c r="L67" s="1217"/>
      <c r="M67" s="1217"/>
      <c r="N67" s="1217"/>
      <c r="O67" s="1217"/>
      <c r="P67" s="1217"/>
      <c r="Q67" s="1217"/>
      <c r="R67" s="1217"/>
      <c r="S67" s="1217"/>
      <c r="T67" s="1217"/>
      <c r="U67" s="1217"/>
      <c r="V67" s="1217"/>
      <c r="W67" s="1217"/>
      <c r="X67" s="1217"/>
      <c r="Y67" s="1217"/>
      <c r="Z67" s="1217"/>
      <c r="AA67" s="1217"/>
      <c r="AB67" s="1217"/>
      <c r="AC67" s="1217"/>
      <c r="AD67" s="1217"/>
      <c r="AE67" s="1217"/>
      <c r="AF67" s="1217"/>
      <c r="AG67" s="1217"/>
      <c r="AH67" s="1217"/>
      <c r="AI67" s="1217"/>
      <c r="AJ67" s="1217"/>
      <c r="AK67" s="1217"/>
      <c r="AL67" s="1217"/>
      <c r="AM67" s="1217"/>
      <c r="AN67" s="1217"/>
      <c r="AO67" s="1217"/>
      <c r="AP67" s="1217"/>
      <c r="AQ67" s="1217"/>
      <c r="AR67" s="1217"/>
      <c r="AS67" s="1217"/>
      <c r="AT67" s="1217"/>
      <c r="AU67" s="1217"/>
      <c r="AV67" s="1217"/>
      <c r="AW67" s="1217"/>
      <c r="AX67" s="1217"/>
      <c r="AY67" s="1217"/>
      <c r="AZ67" s="1217"/>
      <c r="BA67" s="1217"/>
      <c r="BB67" s="1217"/>
      <c r="BC67" s="1217"/>
      <c r="BD67" s="1217"/>
      <c r="BE67" s="1217"/>
      <c r="BF67" s="1217"/>
      <c r="BG67" s="1217"/>
      <c r="BH67" s="1217"/>
      <c r="BI67" s="1217"/>
      <c r="BJ67" s="1217"/>
      <c r="BK67" s="1217"/>
      <c r="BM67" s="1186"/>
    </row>
    <row r="68" spans="1:79" s="6" customFormat="1" ht="12.75" customHeight="1">
      <c r="A68" s="1186"/>
      <c r="F68" s="1217"/>
      <c r="G68" s="1217"/>
      <c r="H68" s="1217"/>
      <c r="I68" s="1217"/>
      <c r="J68" s="1217"/>
      <c r="K68" s="1217"/>
      <c r="L68" s="1217"/>
      <c r="M68" s="1217"/>
      <c r="N68" s="1217"/>
      <c r="O68" s="1217"/>
      <c r="P68" s="1217"/>
      <c r="Q68" s="1217"/>
      <c r="R68" s="1217"/>
      <c r="S68" s="1217"/>
      <c r="T68" s="1217"/>
      <c r="U68" s="1217"/>
      <c r="V68" s="1217"/>
      <c r="W68" s="1217"/>
      <c r="X68" s="1217"/>
      <c r="Y68" s="1217"/>
      <c r="Z68" s="1217"/>
      <c r="AA68" s="1217"/>
      <c r="AB68" s="1217"/>
      <c r="AC68" s="1217"/>
      <c r="AD68" s="1217"/>
      <c r="AE68" s="1217"/>
      <c r="AF68" s="1217"/>
      <c r="AG68" s="1217"/>
      <c r="AH68" s="1217"/>
      <c r="AI68" s="1217"/>
      <c r="AJ68" s="1217"/>
      <c r="AK68" s="1217"/>
      <c r="AL68" s="1217"/>
      <c r="AM68" s="1217"/>
      <c r="AN68" s="1217"/>
      <c r="AO68" s="1217"/>
      <c r="AP68" s="1217"/>
      <c r="AQ68" s="1217"/>
      <c r="AR68" s="1217"/>
      <c r="AS68" s="1217"/>
      <c r="AT68" s="1217"/>
      <c r="AU68" s="1217"/>
      <c r="AV68" s="1217"/>
      <c r="AW68" s="1217"/>
      <c r="AX68" s="1217"/>
      <c r="AY68" s="1217"/>
      <c r="AZ68" s="1217"/>
      <c r="BA68" s="1217"/>
      <c r="BB68" s="1217"/>
      <c r="BC68" s="1217"/>
      <c r="BD68" s="1217"/>
      <c r="BE68" s="1217"/>
      <c r="BF68" s="1217"/>
      <c r="BG68" s="1217"/>
      <c r="BH68" s="1217"/>
      <c r="BI68" s="1217"/>
      <c r="BJ68" s="1217"/>
      <c r="BK68" s="1217"/>
      <c r="BM68" s="1186"/>
    </row>
    <row r="69" spans="1:79" s="6" customFormat="1" ht="12.75" customHeight="1">
      <c r="A69" s="1186"/>
      <c r="F69" s="1218" t="str">
        <f>+IF(DATOS!X201+DATOS!X211&gt;0,"     laboral, civil y/o penal que  pudiera derivar de dicha relacion conforme a normativas vigentes.."," ")</f>
        <v xml:space="preserve"> </v>
      </c>
      <c r="G69" s="1218"/>
      <c r="H69" s="1218"/>
      <c r="I69" s="1218"/>
      <c r="J69" s="1218"/>
      <c r="K69" s="1218"/>
      <c r="L69" s="1218"/>
      <c r="M69" s="1218"/>
      <c r="N69" s="1218"/>
      <c r="O69" s="1218"/>
      <c r="P69" s="1218"/>
      <c r="Q69" s="1218"/>
      <c r="R69" s="1218"/>
      <c r="S69" s="1218"/>
      <c r="T69" s="1218"/>
      <c r="U69" s="1218"/>
      <c r="V69" s="1218"/>
      <c r="W69" s="1218"/>
      <c r="X69" s="1218"/>
      <c r="Y69" s="1218"/>
      <c r="Z69" s="1218"/>
      <c r="AA69" s="1218"/>
      <c r="AB69" s="1218"/>
      <c r="AC69" s="1218"/>
      <c r="AD69" s="1218"/>
      <c r="AE69" s="1218"/>
      <c r="AF69" s="1218"/>
      <c r="AG69" s="1218"/>
      <c r="AH69" s="1218"/>
      <c r="AI69" s="1218"/>
      <c r="AJ69" s="1218"/>
      <c r="AK69" s="1218"/>
      <c r="AL69" s="1218"/>
      <c r="AM69" s="1218"/>
      <c r="AN69" s="1218"/>
      <c r="AO69" s="1218"/>
      <c r="AP69" s="1218"/>
      <c r="AQ69" s="1218"/>
      <c r="AR69" s="1218"/>
      <c r="AS69" s="1218"/>
      <c r="AT69" s="1218"/>
      <c r="AU69" s="1218"/>
      <c r="AV69" s="1218"/>
      <c r="AW69" s="1218"/>
      <c r="AX69" s="1218"/>
      <c r="AY69" s="1218"/>
      <c r="AZ69" s="1218"/>
      <c r="BA69" s="1218"/>
      <c r="BB69" s="1218"/>
      <c r="BC69" s="1218"/>
      <c r="BD69" s="1218"/>
      <c r="BE69" s="1218"/>
      <c r="BF69" s="1218"/>
      <c r="BG69" s="1218"/>
      <c r="BH69" s="1218"/>
      <c r="BI69" s="1218"/>
      <c r="BJ69" s="1218"/>
      <c r="BK69" s="1218"/>
      <c r="BM69" s="1186"/>
    </row>
    <row r="70" spans="1:79" s="6" customFormat="1" ht="12.75" customHeight="1">
      <c r="A70" s="1186"/>
      <c r="F70" s="1216" t="str">
        <f>+IF(DATOS!X201+DATOS!X211&gt;0,"b) La contratacion de los seguros de riesgo por accidente de trabajo, de vida y cualquier otro que exigen las normas que rigen la actividad.","  ")</f>
        <v xml:space="preserve">  </v>
      </c>
      <c r="G70" s="1216"/>
      <c r="H70" s="1216"/>
      <c r="I70" s="1216"/>
      <c r="J70" s="1216"/>
      <c r="K70" s="1216"/>
      <c r="L70" s="1216"/>
      <c r="M70" s="1216"/>
      <c r="N70" s="1216"/>
      <c r="O70" s="1216"/>
      <c r="P70" s="1216"/>
      <c r="Q70" s="1216"/>
      <c r="R70" s="1216"/>
      <c r="S70" s="1216"/>
      <c r="T70" s="1216"/>
      <c r="U70" s="1216"/>
      <c r="V70" s="1216"/>
      <c r="W70" s="1216"/>
      <c r="X70" s="1216"/>
      <c r="Y70" s="1216"/>
      <c r="Z70" s="1216"/>
      <c r="AA70" s="1216"/>
      <c r="AB70" s="1216"/>
      <c r="AC70" s="1216"/>
      <c r="AD70" s="1216"/>
      <c r="AE70" s="1216"/>
      <c r="AF70" s="1216"/>
      <c r="AG70" s="1216"/>
      <c r="AH70" s="1216"/>
      <c r="AI70" s="1216"/>
      <c r="AJ70" s="1216"/>
      <c r="AK70" s="1216"/>
      <c r="AL70" s="1216"/>
      <c r="AM70" s="1216"/>
      <c r="AN70" s="1216"/>
      <c r="AO70" s="1216"/>
      <c r="AP70" s="1216"/>
      <c r="AQ70" s="1216"/>
      <c r="AR70" s="1216"/>
      <c r="AS70" s="1216"/>
      <c r="AT70" s="1216"/>
      <c r="AU70" s="1216"/>
      <c r="AV70" s="1216"/>
      <c r="AW70" s="1216"/>
      <c r="AX70" s="1216"/>
      <c r="AY70" s="1216"/>
      <c r="AZ70" s="1216"/>
      <c r="BA70" s="1216"/>
      <c r="BB70" s="1216"/>
      <c r="BC70" s="1216"/>
      <c r="BD70" s="1216"/>
      <c r="BE70" s="1216"/>
      <c r="BF70" s="1216"/>
      <c r="BG70" s="1216"/>
      <c r="BH70" s="1216"/>
      <c r="BI70" s="1216"/>
      <c r="BJ70" s="1216"/>
      <c r="BK70" s="1216"/>
      <c r="BM70" s="1186"/>
    </row>
    <row r="71" spans="1:79" s="6" customFormat="1" ht="12.75" customHeight="1">
      <c r="A71" s="1186"/>
      <c r="F71" s="1218" t="str">
        <f>+IF(DATOS!X201+DATOS!X211&gt;0,"c) El cumplimiento de las normas de Seguridad e Higiene en el Trabajo y Medicina Laboral.","  ")</f>
        <v xml:space="preserve">  </v>
      </c>
      <c r="G71" s="1218"/>
      <c r="H71" s="1218"/>
      <c r="I71" s="1218"/>
      <c r="J71" s="1218"/>
      <c r="K71" s="1218"/>
      <c r="L71" s="1218"/>
      <c r="M71" s="1218"/>
      <c r="N71" s="1218"/>
      <c r="O71" s="1218"/>
      <c r="P71" s="1218"/>
      <c r="Q71" s="1218"/>
      <c r="R71" s="1218"/>
      <c r="S71" s="1218"/>
      <c r="T71" s="1218"/>
      <c r="U71" s="1218"/>
      <c r="V71" s="1218"/>
      <c r="W71" s="1218"/>
      <c r="X71" s="1218"/>
      <c r="Y71" s="1218"/>
      <c r="Z71" s="1218"/>
      <c r="AA71" s="1218"/>
      <c r="AB71" s="1218"/>
      <c r="AC71" s="1218"/>
      <c r="AD71" s="1218"/>
      <c r="AE71" s="1218"/>
      <c r="AF71" s="1218"/>
      <c r="AG71" s="1218"/>
      <c r="AH71" s="1218"/>
      <c r="AI71" s="1218"/>
      <c r="AJ71" s="1218"/>
      <c r="AK71" s="1218"/>
      <c r="AL71" s="1218"/>
      <c r="AM71" s="1218"/>
      <c r="AN71" s="1218"/>
      <c r="AO71" s="1218"/>
      <c r="AP71" s="1218"/>
      <c r="AQ71" s="1218"/>
      <c r="AR71" s="1218"/>
      <c r="AS71" s="1218"/>
      <c r="AT71" s="1218"/>
      <c r="AU71" s="1218"/>
      <c r="AV71" s="1218"/>
      <c r="AW71" s="1218"/>
      <c r="AX71" s="1218"/>
      <c r="AY71" s="1218"/>
      <c r="AZ71" s="1218"/>
      <c r="BA71" s="1218"/>
      <c r="BB71" s="1218"/>
      <c r="BC71" s="1218"/>
      <c r="BD71" s="1218"/>
      <c r="BE71" s="1218"/>
      <c r="BF71" s="1218"/>
      <c r="BG71" s="1218"/>
      <c r="BH71" s="1218"/>
      <c r="BI71" s="1218"/>
      <c r="BJ71" s="1218"/>
      <c r="BK71" s="1218"/>
      <c r="BM71" s="1186"/>
    </row>
    <row r="72" spans="1:79" s="6" customFormat="1" ht="12.75" customHeight="1">
      <c r="A72" s="1186"/>
      <c r="F72" s="1218" t="str">
        <f>+IF(DATOS!X201+DATOS!X211&gt;0,"d) La compra de la totalidad de materiales que demande la construccion de la obra.","  ")</f>
        <v xml:space="preserve">  </v>
      </c>
      <c r="G72" s="1218"/>
      <c r="H72" s="1218"/>
      <c r="I72" s="1218"/>
      <c r="J72" s="1218"/>
      <c r="K72" s="1218"/>
      <c r="L72" s="1218"/>
      <c r="M72" s="1218"/>
      <c r="N72" s="1218"/>
      <c r="O72" s="1218"/>
      <c r="P72" s="1218"/>
      <c r="Q72" s="1218"/>
      <c r="R72" s="1218"/>
      <c r="S72" s="1218"/>
      <c r="T72" s="1218"/>
      <c r="U72" s="1218"/>
      <c r="V72" s="1218"/>
      <c r="W72" s="1218"/>
      <c r="X72" s="1218"/>
      <c r="Y72" s="1218"/>
      <c r="Z72" s="1218"/>
      <c r="AA72" s="1218"/>
      <c r="AB72" s="1218"/>
      <c r="AC72" s="1218"/>
      <c r="AD72" s="1218"/>
      <c r="AE72" s="1218"/>
      <c r="AF72" s="1218"/>
      <c r="AG72" s="1218"/>
      <c r="AH72" s="1218"/>
      <c r="AI72" s="1218"/>
      <c r="AJ72" s="1218"/>
      <c r="AK72" s="1218"/>
      <c r="AL72" s="1218"/>
      <c r="AM72" s="1218"/>
      <c r="AN72" s="1218"/>
      <c r="AO72" s="1218"/>
      <c r="AP72" s="1218"/>
      <c r="AQ72" s="1218"/>
      <c r="AR72" s="1218"/>
      <c r="AS72" s="1218"/>
      <c r="AT72" s="1218"/>
      <c r="AU72" s="1218"/>
      <c r="AV72" s="1218"/>
      <c r="AW72" s="1218"/>
      <c r="AX72" s="1218"/>
      <c r="AY72" s="1218"/>
      <c r="AZ72" s="1218"/>
      <c r="BA72" s="1218"/>
      <c r="BB72" s="1218"/>
      <c r="BC72" s="1218"/>
      <c r="BD72" s="1218"/>
      <c r="BE72" s="1218"/>
      <c r="BF72" s="1218"/>
      <c r="BG72" s="1218"/>
      <c r="BH72" s="1218"/>
      <c r="BI72" s="1218"/>
      <c r="BJ72" s="1218"/>
      <c r="BK72" s="1218"/>
      <c r="BM72" s="1186"/>
    </row>
    <row r="73" spans="1:79" s="6" customFormat="1" ht="3.75" customHeight="1">
      <c r="A73" s="1186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M73" s="1186"/>
    </row>
    <row r="74" spans="1:79" s="6" customFormat="1" ht="12.75" customHeight="1">
      <c r="A74" s="1186"/>
      <c r="B74" s="8"/>
      <c r="E74" s="1192" t="str">
        <f>+IF(DATOS!X201+DATOS!X211&gt;0,"Nota:","  ")</f>
        <v xml:space="preserve">  </v>
      </c>
      <c r="F74" s="1192"/>
      <c r="G74" s="1192"/>
      <c r="H74" s="1211" t="str">
        <f>+IF(DATOS!X201+DATOS!X211&gt;0,"Cualquier daño causado a TERCEROS  por contratistas, subcontratistas y/o personal dependiente y/o cosas existentes enla obra, quedan bajo exclusiva responsabilidad del Comitente, qudando eximido EL PROFESIONAL de toda accion en su contra.","  ")</f>
        <v xml:space="preserve">  </v>
      </c>
      <c r="I74" s="1211"/>
      <c r="J74" s="1211"/>
      <c r="K74" s="1211"/>
      <c r="L74" s="1211"/>
      <c r="M74" s="1211"/>
      <c r="N74" s="1211"/>
      <c r="O74" s="1211"/>
      <c r="P74" s="1211"/>
      <c r="Q74" s="1211"/>
      <c r="R74" s="1211"/>
      <c r="S74" s="1211"/>
      <c r="T74" s="1211"/>
      <c r="U74" s="1211"/>
      <c r="V74" s="1211"/>
      <c r="W74" s="1211"/>
      <c r="X74" s="1211"/>
      <c r="Y74" s="1211"/>
      <c r="Z74" s="1211"/>
      <c r="AA74" s="1211"/>
      <c r="AB74" s="1211"/>
      <c r="AC74" s="1211"/>
      <c r="AD74" s="1211"/>
      <c r="AE74" s="1211"/>
      <c r="AF74" s="1211"/>
      <c r="AG74" s="1211"/>
      <c r="AH74" s="1211"/>
      <c r="AI74" s="1211"/>
      <c r="AJ74" s="1211"/>
      <c r="AK74" s="1211"/>
      <c r="AL74" s="1211"/>
      <c r="AM74" s="1211"/>
      <c r="AN74" s="1211"/>
      <c r="AO74" s="1211"/>
      <c r="AP74" s="1211"/>
      <c r="AQ74" s="1211"/>
      <c r="AR74" s="1211"/>
      <c r="AS74" s="1211"/>
      <c r="AT74" s="1211"/>
      <c r="AU74" s="1211"/>
      <c r="AV74" s="1211"/>
      <c r="AW74" s="1211"/>
      <c r="AX74" s="1211"/>
      <c r="AY74" s="1211"/>
      <c r="AZ74" s="1211"/>
      <c r="BA74" s="1211"/>
      <c r="BB74" s="1211"/>
      <c r="BC74" s="1211"/>
      <c r="BD74" s="1211"/>
      <c r="BE74" s="1211"/>
      <c r="BF74" s="1211"/>
      <c r="BG74" s="1211"/>
      <c r="BH74" s="1211"/>
      <c r="BM74" s="1186"/>
      <c r="BU74" s="114"/>
      <c r="BV74" s="114"/>
      <c r="BW74" s="102"/>
      <c r="BX74" s="102"/>
      <c r="BY74" s="117"/>
      <c r="BZ74" s="117"/>
      <c r="CA74" s="117"/>
    </row>
    <row r="75" spans="1:79" s="113" customFormat="1" ht="12.75" customHeight="1">
      <c r="A75" s="1186"/>
      <c r="H75" s="1211"/>
      <c r="I75" s="1211"/>
      <c r="J75" s="1211"/>
      <c r="K75" s="1211"/>
      <c r="L75" s="1211"/>
      <c r="M75" s="1211"/>
      <c r="N75" s="1211"/>
      <c r="O75" s="1211"/>
      <c r="P75" s="1211"/>
      <c r="Q75" s="1211"/>
      <c r="R75" s="1211"/>
      <c r="S75" s="1211"/>
      <c r="T75" s="1211"/>
      <c r="U75" s="1211"/>
      <c r="V75" s="1211"/>
      <c r="W75" s="1211"/>
      <c r="X75" s="1211"/>
      <c r="Y75" s="1211"/>
      <c r="Z75" s="1211"/>
      <c r="AA75" s="1211"/>
      <c r="AB75" s="1211"/>
      <c r="AC75" s="1211"/>
      <c r="AD75" s="1211"/>
      <c r="AE75" s="1211"/>
      <c r="AF75" s="1211"/>
      <c r="AG75" s="1211"/>
      <c r="AH75" s="1211"/>
      <c r="AI75" s="1211"/>
      <c r="AJ75" s="1211"/>
      <c r="AK75" s="1211"/>
      <c r="AL75" s="1211"/>
      <c r="AM75" s="1211"/>
      <c r="AN75" s="1211"/>
      <c r="AO75" s="1211"/>
      <c r="AP75" s="1211"/>
      <c r="AQ75" s="1211"/>
      <c r="AR75" s="1211"/>
      <c r="AS75" s="1211"/>
      <c r="AT75" s="1211"/>
      <c r="AU75" s="1211"/>
      <c r="AV75" s="1211"/>
      <c r="AW75" s="1211"/>
      <c r="AX75" s="1211"/>
      <c r="AY75" s="1211"/>
      <c r="AZ75" s="1211"/>
      <c r="BA75" s="1211"/>
      <c r="BB75" s="1211"/>
      <c r="BC75" s="1211"/>
      <c r="BD75" s="1211"/>
      <c r="BE75" s="1211"/>
      <c r="BF75" s="1211"/>
      <c r="BG75" s="1211"/>
      <c r="BH75" s="1211"/>
      <c r="BM75" s="1186"/>
      <c r="BU75" s="57"/>
      <c r="BV75" s="57"/>
      <c r="BW75" s="57"/>
      <c r="BX75" s="57"/>
      <c r="BY75" s="115"/>
      <c r="BZ75" s="115"/>
      <c r="CA75" s="115"/>
    </row>
    <row r="76" spans="1:79" s="113" customFormat="1" ht="3" customHeight="1">
      <c r="A76" s="1186"/>
      <c r="H76" s="228"/>
      <c r="BM76" s="1186"/>
      <c r="BU76" s="57"/>
      <c r="BV76" s="57"/>
      <c r="BW76" s="57"/>
      <c r="BX76" s="57"/>
      <c r="BY76" s="115"/>
      <c r="BZ76" s="115"/>
      <c r="CA76" s="115"/>
    </row>
    <row r="77" spans="1:79" s="113" customFormat="1" ht="12.75" customHeight="1">
      <c r="A77" s="1186"/>
      <c r="B77" s="1189" t="str">
        <f>+IF(DATOS!X201+DATOS!X211&gt;0,"Articulo 14:","  ")</f>
        <v xml:space="preserve">  </v>
      </c>
      <c r="C77" s="1189"/>
      <c r="D77" s="1189"/>
      <c r="E77" s="1189"/>
      <c r="F77" s="1189"/>
      <c r="G77" s="1189"/>
      <c r="H77" s="1189"/>
      <c r="I77" s="1212" t="str">
        <f>+IF(DATOS!X201+DATOS!X211&gt;0," El  PROPIETARIO debera informar al  PROFESIONAL  de y en forma FEHACIENTE por medio de carta documento, telegrama o similar, con confirmacion de la recepcion de la misma, el dia y la hora QUE COMENZARA la obra.","  ")</f>
        <v xml:space="preserve">  </v>
      </c>
      <c r="J77" s="1212"/>
      <c r="K77" s="1212"/>
      <c r="L77" s="1212"/>
      <c r="M77" s="1212"/>
      <c r="N77" s="1212"/>
      <c r="O77" s="1212"/>
      <c r="P77" s="1212"/>
      <c r="Q77" s="1212"/>
      <c r="R77" s="1212"/>
      <c r="S77" s="1212"/>
      <c r="T77" s="1212"/>
      <c r="U77" s="1212"/>
      <c r="V77" s="1212"/>
      <c r="W77" s="1212"/>
      <c r="X77" s="1212"/>
      <c r="Y77" s="1212"/>
      <c r="Z77" s="1212"/>
      <c r="AA77" s="1212"/>
      <c r="AB77" s="1212"/>
      <c r="AC77" s="1212"/>
      <c r="AD77" s="1212"/>
      <c r="AE77" s="1212"/>
      <c r="AF77" s="1212"/>
      <c r="AG77" s="1212"/>
      <c r="AH77" s="1212"/>
      <c r="AI77" s="1212"/>
      <c r="AJ77" s="1212"/>
      <c r="AK77" s="1212"/>
      <c r="AL77" s="1212"/>
      <c r="AM77" s="1212"/>
      <c r="AN77" s="1212"/>
      <c r="AO77" s="1212"/>
      <c r="AP77" s="1212"/>
      <c r="AQ77" s="1212"/>
      <c r="AR77" s="1212"/>
      <c r="AS77" s="1212"/>
      <c r="AT77" s="1212"/>
      <c r="AU77" s="1212"/>
      <c r="AV77" s="1212"/>
      <c r="AW77" s="1212"/>
      <c r="AX77" s="1212"/>
      <c r="AY77" s="1212"/>
      <c r="AZ77" s="1212"/>
      <c r="BA77" s="1212"/>
      <c r="BB77" s="1212"/>
      <c r="BC77" s="1212"/>
      <c r="BD77" s="1212"/>
      <c r="BE77" s="1212"/>
      <c r="BF77" s="1212"/>
      <c r="BG77" s="1212"/>
      <c r="BH77" s="1212"/>
      <c r="BI77" s="1212"/>
      <c r="BJ77" s="1212"/>
      <c r="BK77" s="1212"/>
      <c r="BL77" s="1212"/>
      <c r="BM77" s="1186"/>
      <c r="BU77" s="57"/>
      <c r="BV77" s="57"/>
      <c r="BW77" s="57"/>
      <c r="BX77" s="57"/>
      <c r="BY77" s="115"/>
      <c r="BZ77" s="115"/>
      <c r="CA77" s="115"/>
    </row>
    <row r="78" spans="1:79" ht="17.25" customHeight="1">
      <c r="A78" s="1186"/>
      <c r="I78" s="1212"/>
      <c r="J78" s="1212"/>
      <c r="K78" s="1212"/>
      <c r="L78" s="1212"/>
      <c r="M78" s="1212"/>
      <c r="N78" s="1212"/>
      <c r="O78" s="1212"/>
      <c r="P78" s="1212"/>
      <c r="Q78" s="1212"/>
      <c r="R78" s="1212"/>
      <c r="S78" s="1212"/>
      <c r="T78" s="1212"/>
      <c r="U78" s="1212"/>
      <c r="V78" s="1212"/>
      <c r="W78" s="1212"/>
      <c r="X78" s="1212"/>
      <c r="Y78" s="1212"/>
      <c r="Z78" s="1212"/>
      <c r="AA78" s="1212"/>
      <c r="AB78" s="1212"/>
      <c r="AC78" s="1212"/>
      <c r="AD78" s="1212"/>
      <c r="AE78" s="1212"/>
      <c r="AF78" s="1212"/>
      <c r="AG78" s="1212"/>
      <c r="AH78" s="1212"/>
      <c r="AI78" s="1212"/>
      <c r="AJ78" s="1212"/>
      <c r="AK78" s="1212"/>
      <c r="AL78" s="1212"/>
      <c r="AM78" s="1212"/>
      <c r="AN78" s="1212"/>
      <c r="AO78" s="1212"/>
      <c r="AP78" s="1212"/>
      <c r="AQ78" s="1212"/>
      <c r="AR78" s="1212"/>
      <c r="AS78" s="1212"/>
      <c r="AT78" s="1212"/>
      <c r="AU78" s="1212"/>
      <c r="AV78" s="1212"/>
      <c r="AW78" s="1212"/>
      <c r="AX78" s="1212"/>
      <c r="AY78" s="1212"/>
      <c r="AZ78" s="1212"/>
      <c r="BA78" s="1212"/>
      <c r="BB78" s="1212"/>
      <c r="BC78" s="1212"/>
      <c r="BD78" s="1212"/>
      <c r="BE78" s="1212"/>
      <c r="BF78" s="1212"/>
      <c r="BG78" s="1212"/>
      <c r="BH78" s="1212"/>
      <c r="BI78" s="1212"/>
      <c r="BJ78" s="1212"/>
      <c r="BK78" s="1212"/>
      <c r="BL78" s="1212"/>
      <c r="BM78" s="1186"/>
      <c r="BU78" s="57"/>
      <c r="BV78" s="57"/>
      <c r="BW78" s="57"/>
      <c r="BX78" s="57"/>
      <c r="BY78" s="57"/>
      <c r="BZ78" s="57"/>
      <c r="CA78" s="57"/>
    </row>
    <row r="79" spans="1:79" ht="13.5" customHeight="1" thickBot="1">
      <c r="A79" s="1186"/>
      <c r="C79" s="160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00"/>
      <c r="BM79" s="1186"/>
      <c r="BN79" s="29"/>
      <c r="BU79" s="57"/>
      <c r="BV79" s="57"/>
      <c r="BW79" s="57"/>
      <c r="BX79" s="57"/>
      <c r="BY79" s="57"/>
      <c r="BZ79" s="57"/>
      <c r="CA79" s="57"/>
    </row>
    <row r="80" spans="1:79" ht="16.5" customHeight="1">
      <c r="A80" s="1186"/>
      <c r="B80" s="176" t="s">
        <v>163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8"/>
      <c r="AI80" s="1193" t="s">
        <v>219</v>
      </c>
      <c r="AJ80" s="1194"/>
      <c r="AK80" s="1194"/>
      <c r="AL80" s="1194"/>
      <c r="AM80" s="1194"/>
      <c r="AN80" s="1194"/>
      <c r="AO80" s="1194"/>
      <c r="AP80" s="1195"/>
      <c r="AQ80" s="1199"/>
      <c r="AR80" s="1200"/>
      <c r="AS80" s="1200"/>
      <c r="AT80" s="1200"/>
      <c r="AU80" s="1200"/>
      <c r="AV80" s="1200"/>
      <c r="AW80" s="1200"/>
      <c r="AX80" s="1200"/>
      <c r="AY80" s="1200"/>
      <c r="AZ80" s="1200"/>
      <c r="BA80" s="1200"/>
      <c r="BB80" s="1200"/>
      <c r="BC80" s="1200"/>
      <c r="BD80" s="1200"/>
      <c r="BE80" s="1200"/>
      <c r="BF80" s="1200"/>
      <c r="BG80" s="1200"/>
      <c r="BH80" s="1200"/>
      <c r="BI80" s="1200"/>
      <c r="BJ80" s="1201"/>
      <c r="BM80" s="1186"/>
      <c r="BU80" s="57"/>
      <c r="BV80" s="102"/>
      <c r="BW80" s="102"/>
      <c r="BX80" s="57"/>
      <c r="BY80" s="57"/>
      <c r="BZ80" s="57"/>
      <c r="CA80" s="57"/>
    </row>
    <row r="81" spans="1:79" ht="23.25" customHeight="1" thickBot="1">
      <c r="A81" s="1186"/>
      <c r="B81" s="1205" t="str">
        <f>DATOS!$G$54</f>
        <v>#</v>
      </c>
      <c r="C81" s="1206"/>
      <c r="D81" s="1206"/>
      <c r="E81" s="1206"/>
      <c r="F81" s="1206"/>
      <c r="G81" s="1206"/>
      <c r="H81" s="1206"/>
      <c r="I81" s="1206"/>
      <c r="J81" s="1206"/>
      <c r="K81" s="1206"/>
      <c r="L81" s="1206"/>
      <c r="M81" s="1206"/>
      <c r="N81" s="1206"/>
      <c r="O81" s="1206"/>
      <c r="P81" s="1206"/>
      <c r="Q81" s="1206"/>
      <c r="R81" s="1206"/>
      <c r="S81" s="1206"/>
      <c r="T81" s="1206"/>
      <c r="U81" s="1206"/>
      <c r="V81" s="1206"/>
      <c r="W81" s="1206"/>
      <c r="X81" s="1206"/>
      <c r="Y81" s="1206"/>
      <c r="Z81" s="1206"/>
      <c r="AA81" s="1206"/>
      <c r="AB81" s="1206"/>
      <c r="AC81" s="1206"/>
      <c r="AD81" s="1206"/>
      <c r="AE81" s="1206"/>
      <c r="AF81" s="1207"/>
      <c r="AI81" s="1196"/>
      <c r="AJ81" s="1197"/>
      <c r="AK81" s="1197"/>
      <c r="AL81" s="1197"/>
      <c r="AM81" s="1197"/>
      <c r="AN81" s="1197"/>
      <c r="AO81" s="1197"/>
      <c r="AP81" s="1198"/>
      <c r="AQ81" s="1202"/>
      <c r="AR81" s="1203"/>
      <c r="AS81" s="1203"/>
      <c r="AT81" s="1203"/>
      <c r="AU81" s="1203"/>
      <c r="AV81" s="1203"/>
      <c r="AW81" s="1203"/>
      <c r="AX81" s="1203"/>
      <c r="AY81" s="1203"/>
      <c r="AZ81" s="1203"/>
      <c r="BA81" s="1203"/>
      <c r="BB81" s="1203"/>
      <c r="BC81" s="1203"/>
      <c r="BD81" s="1203"/>
      <c r="BE81" s="1203"/>
      <c r="BF81" s="1203"/>
      <c r="BG81" s="1203"/>
      <c r="BH81" s="1203"/>
      <c r="BI81" s="1203"/>
      <c r="BJ81" s="1204"/>
      <c r="BM81" s="1186"/>
      <c r="BU81" s="57"/>
      <c r="BV81" s="102"/>
      <c r="BW81" s="102"/>
      <c r="BX81" s="57"/>
      <c r="BY81" s="57"/>
      <c r="BZ81" s="57"/>
      <c r="CA81" s="57"/>
    </row>
    <row r="82" spans="1:79" ht="4.5" customHeight="1" thickBot="1">
      <c r="A82" s="1186"/>
      <c r="B82" s="1205"/>
      <c r="C82" s="1206"/>
      <c r="D82" s="1206"/>
      <c r="E82" s="1206"/>
      <c r="F82" s="1206"/>
      <c r="G82" s="1206"/>
      <c r="H82" s="1206"/>
      <c r="I82" s="1206"/>
      <c r="J82" s="1206"/>
      <c r="K82" s="1206"/>
      <c r="L82" s="1206"/>
      <c r="M82" s="1206"/>
      <c r="N82" s="1206"/>
      <c r="O82" s="1206"/>
      <c r="P82" s="1206"/>
      <c r="Q82" s="1206"/>
      <c r="R82" s="1206"/>
      <c r="S82" s="1206"/>
      <c r="T82" s="1206"/>
      <c r="U82" s="1206"/>
      <c r="V82" s="1206"/>
      <c r="W82" s="1206"/>
      <c r="X82" s="1206"/>
      <c r="Y82" s="1206"/>
      <c r="Z82" s="1206"/>
      <c r="AA82" s="1206"/>
      <c r="AB82" s="1206"/>
      <c r="AC82" s="1206"/>
      <c r="AD82" s="1206"/>
      <c r="AE82" s="1206"/>
      <c r="AF82" s="1207"/>
      <c r="BM82" s="1186"/>
      <c r="BN82" s="57"/>
      <c r="BO82" s="57"/>
      <c r="BU82" s="57"/>
      <c r="BV82" s="102"/>
      <c r="BW82" s="102"/>
      <c r="BX82" s="57"/>
      <c r="BY82" s="57"/>
      <c r="BZ82" s="57"/>
      <c r="CA82" s="57"/>
    </row>
    <row r="83" spans="1:79" ht="12" customHeight="1">
      <c r="A83" s="1186"/>
      <c r="B83" s="1205"/>
      <c r="C83" s="1206"/>
      <c r="D83" s="1206"/>
      <c r="E83" s="1206"/>
      <c r="F83" s="1206"/>
      <c r="G83" s="1206"/>
      <c r="H83" s="1206"/>
      <c r="I83" s="1206"/>
      <c r="J83" s="1206"/>
      <c r="K83" s="1206"/>
      <c r="L83" s="1206"/>
      <c r="M83" s="1206"/>
      <c r="N83" s="1206"/>
      <c r="O83" s="1206"/>
      <c r="P83" s="1206"/>
      <c r="Q83" s="1206"/>
      <c r="R83" s="1206"/>
      <c r="S83" s="1206"/>
      <c r="T83" s="1206"/>
      <c r="U83" s="1206"/>
      <c r="V83" s="1206"/>
      <c r="W83" s="1206"/>
      <c r="X83" s="1206"/>
      <c r="Y83" s="1206"/>
      <c r="Z83" s="1206"/>
      <c r="AA83" s="1206"/>
      <c r="AB83" s="1206"/>
      <c r="AC83" s="1206"/>
      <c r="AD83" s="1206"/>
      <c r="AE83" s="1206"/>
      <c r="AF83" s="1207"/>
      <c r="AP83" s="176"/>
      <c r="AQ83" s="177"/>
      <c r="AR83" s="177"/>
      <c r="AS83" s="177"/>
      <c r="AT83" s="201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8"/>
      <c r="BM83" s="1186"/>
      <c r="BN83" s="114"/>
      <c r="BO83" s="114"/>
      <c r="BP83" s="102"/>
      <c r="BQ83" s="102"/>
      <c r="BU83" s="57"/>
      <c r="BV83" s="57"/>
      <c r="BW83" s="57"/>
      <c r="BX83" s="57"/>
      <c r="BY83" s="57"/>
      <c r="BZ83" s="57"/>
      <c r="CA83" s="57"/>
    </row>
    <row r="84" spans="1:79" ht="13.15" customHeight="1" thickBot="1">
      <c r="A84" s="1186"/>
      <c r="B84" s="1208"/>
      <c r="C84" s="1209"/>
      <c r="D84" s="1209"/>
      <c r="E84" s="1209"/>
      <c r="F84" s="1209"/>
      <c r="G84" s="1209"/>
      <c r="H84" s="1209"/>
      <c r="I84" s="1209"/>
      <c r="J84" s="1209"/>
      <c r="K84" s="1209"/>
      <c r="L84" s="1209"/>
      <c r="M84" s="1209"/>
      <c r="N84" s="1209"/>
      <c r="O84" s="1209"/>
      <c r="P84" s="1209"/>
      <c r="Q84" s="1209"/>
      <c r="R84" s="1209"/>
      <c r="S84" s="1209"/>
      <c r="T84" s="1209"/>
      <c r="U84" s="1209"/>
      <c r="V84" s="1209"/>
      <c r="W84" s="1209"/>
      <c r="X84" s="1209"/>
      <c r="Y84" s="1209"/>
      <c r="Z84" s="1209"/>
      <c r="AA84" s="1209"/>
      <c r="AB84" s="1209"/>
      <c r="AC84" s="1209"/>
      <c r="AD84" s="1209"/>
      <c r="AE84" s="1209"/>
      <c r="AF84" s="1210"/>
      <c r="AP84" s="179"/>
      <c r="AQ84" s="57"/>
      <c r="AR84" s="57"/>
      <c r="AS84" s="57"/>
      <c r="AT84" s="82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180"/>
      <c r="BM84" s="1186"/>
      <c r="BU84" s="57"/>
      <c r="BV84" s="57"/>
      <c r="BW84" s="57"/>
      <c r="BX84" s="57"/>
      <c r="BY84" s="57"/>
      <c r="BZ84" s="57"/>
      <c r="CA84" s="57"/>
    </row>
    <row r="85" spans="1:79" ht="10.15" customHeight="1">
      <c r="A85" s="1186"/>
      <c r="AP85" s="195"/>
      <c r="AQ85" s="196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57"/>
      <c r="BJ85" s="180"/>
      <c r="BM85" s="1186"/>
      <c r="BU85" s="57"/>
      <c r="BV85" s="57"/>
      <c r="BW85" s="57"/>
      <c r="BX85" s="57"/>
      <c r="BY85" s="57"/>
      <c r="BZ85" s="57"/>
      <c r="CA85" s="57"/>
    </row>
    <row r="86" spans="1:79" ht="10.15" customHeight="1">
      <c r="A86" s="1186"/>
      <c r="AP86" s="195"/>
      <c r="AQ86" s="196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57"/>
      <c r="BJ86" s="180"/>
      <c r="BM86" s="1186"/>
      <c r="BU86" s="57"/>
      <c r="BV86" s="57"/>
      <c r="BW86" s="57"/>
      <c r="BX86" s="57"/>
      <c r="BY86" s="57"/>
      <c r="BZ86" s="57"/>
      <c r="CA86" s="57"/>
    </row>
    <row r="87" spans="1:79" ht="12.75" customHeight="1">
      <c r="A87" s="1186"/>
      <c r="AP87" s="195"/>
      <c r="AQ87" s="196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57"/>
      <c r="BJ87" s="180"/>
      <c r="BM87" s="1186"/>
      <c r="BQ87" s="93"/>
      <c r="BR87" s="93"/>
      <c r="BU87" s="57"/>
      <c r="BV87" s="57"/>
      <c r="BW87" s="57"/>
      <c r="BX87" s="57"/>
      <c r="BY87" s="57"/>
      <c r="BZ87" s="57"/>
      <c r="CA87" s="57"/>
    </row>
    <row r="88" spans="1:79" ht="15" customHeight="1">
      <c r="A88" s="1186"/>
      <c r="AP88" s="197"/>
      <c r="AQ88" s="198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57"/>
      <c r="BJ88" s="180"/>
      <c r="BM88" s="1186"/>
      <c r="BQ88" s="116"/>
      <c r="BR88" s="116"/>
      <c r="BU88" s="57"/>
      <c r="BV88" s="57"/>
      <c r="BW88" s="57"/>
      <c r="BX88" s="57"/>
      <c r="BY88" s="57"/>
      <c r="BZ88" s="57"/>
      <c r="CA88" s="57"/>
    </row>
    <row r="89" spans="1:79" ht="11.25" customHeight="1">
      <c r="A89" s="1186"/>
      <c r="D89" s="8" t="s">
        <v>217</v>
      </c>
      <c r="AA89" s="8" t="s">
        <v>216</v>
      </c>
      <c r="AP89" s="179"/>
      <c r="AQ89" s="82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180"/>
      <c r="BM89" s="1186"/>
    </row>
    <row r="90" spans="1:79" ht="11.25" customHeight="1">
      <c r="A90" s="1186"/>
      <c r="E90" s="93" t="s">
        <v>52</v>
      </c>
      <c r="AB90" s="9" t="s">
        <v>51</v>
      </c>
      <c r="AP90" s="179"/>
      <c r="AQ90" s="82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180"/>
      <c r="BM90" s="1186"/>
      <c r="BX90" s="57"/>
      <c r="BY90" s="57"/>
      <c r="BZ90" s="57"/>
    </row>
    <row r="91" spans="1:79" ht="12.75" customHeight="1">
      <c r="A91" s="1186"/>
      <c r="F91" s="15" t="s">
        <v>53</v>
      </c>
      <c r="I91" s="116" t="str">
        <f>DATOS!$G$18</f>
        <v>#</v>
      </c>
      <c r="Z91" s="1190" t="str">
        <f>DATOS!$G$9</f>
        <v>#</v>
      </c>
      <c r="AA91" s="1190"/>
      <c r="AB91" s="1190"/>
      <c r="AC91" s="1190"/>
      <c r="AD91" s="1190"/>
      <c r="AE91" s="1190"/>
      <c r="AF91" s="1190"/>
      <c r="AG91" s="1190"/>
      <c r="AH91" s="1190"/>
      <c r="AI91" s="1190"/>
      <c r="AJ91" s="1190"/>
      <c r="AK91" s="1190"/>
      <c r="AL91" s="1190"/>
      <c r="AM91" s="1190"/>
      <c r="AN91" s="1190"/>
      <c r="AO91" s="1191"/>
      <c r="AP91" s="179"/>
      <c r="AQ91" s="82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180"/>
      <c r="BM91" s="1186"/>
      <c r="BR91" s="116"/>
      <c r="BS91" s="116"/>
      <c r="BU91" s="57"/>
      <c r="BV91" s="57"/>
      <c r="BW91" s="57"/>
      <c r="BX91" s="57"/>
      <c r="BY91" s="57"/>
      <c r="BZ91" s="57"/>
    </row>
    <row r="92" spans="1:79" ht="12.75" customHeight="1">
      <c r="A92" s="1186"/>
      <c r="F92" s="15" t="s">
        <v>54</v>
      </c>
      <c r="I92" s="116" t="str">
        <f>DATOS!$G$23</f>
        <v>#</v>
      </c>
      <c r="Z92" s="1190" t="str">
        <f>DATOS!$G$10</f>
        <v>#</v>
      </c>
      <c r="AA92" s="1190"/>
      <c r="AB92" s="1190"/>
      <c r="AC92" s="1190"/>
      <c r="AD92" s="1190"/>
      <c r="AE92" s="1190"/>
      <c r="AF92" s="1190"/>
      <c r="AG92" s="1190"/>
      <c r="AH92" s="1190"/>
      <c r="AI92" s="1190"/>
      <c r="AJ92" s="1190"/>
      <c r="AK92" s="1190"/>
      <c r="AL92" s="1190"/>
      <c r="AM92" s="1190"/>
      <c r="AN92" s="1190"/>
      <c r="AO92" s="1191"/>
      <c r="AP92" s="179"/>
      <c r="AQ92" s="82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180"/>
      <c r="BM92" s="1186"/>
      <c r="BR92" s="116"/>
      <c r="BS92" s="116"/>
      <c r="BU92" s="57"/>
      <c r="BV92" s="57"/>
      <c r="BW92" s="57"/>
      <c r="BX92" s="57"/>
      <c r="BY92" s="57"/>
      <c r="BZ92" s="57"/>
    </row>
    <row r="93" spans="1:79" ht="11.25" customHeight="1">
      <c r="A93" s="1186"/>
      <c r="F93" s="15" t="s">
        <v>55</v>
      </c>
      <c r="I93" s="116" t="str">
        <f>DATOS!$G$21</f>
        <v>#</v>
      </c>
      <c r="AP93" s="179"/>
      <c r="AQ93" s="82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180"/>
      <c r="BM93" s="1186"/>
      <c r="BR93" s="116"/>
      <c r="BS93" s="116"/>
      <c r="BU93" s="57"/>
      <c r="BV93" s="57"/>
      <c r="BW93" s="57"/>
      <c r="BX93" s="57"/>
      <c r="BY93" s="57"/>
      <c r="BZ93" s="57"/>
    </row>
    <row r="94" spans="1:79" ht="11.25" customHeight="1">
      <c r="A94" s="1186"/>
      <c r="F94" s="15"/>
      <c r="I94" s="116"/>
      <c r="AP94" s="179"/>
      <c r="AQ94" s="82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180"/>
      <c r="BM94" s="1186"/>
      <c r="BR94" s="116"/>
      <c r="BS94" s="116"/>
      <c r="BU94" s="57"/>
      <c r="BV94" s="57"/>
      <c r="BW94" s="57"/>
      <c r="BX94" s="57"/>
      <c r="BY94" s="57"/>
      <c r="BZ94" s="57"/>
    </row>
    <row r="95" spans="1:79" ht="11.25" customHeight="1">
      <c r="A95" s="1186"/>
      <c r="AP95" s="179"/>
      <c r="AQ95" s="82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180"/>
      <c r="BM95" s="1186"/>
      <c r="BU95" s="57"/>
      <c r="BV95" s="57"/>
      <c r="BW95" s="57"/>
      <c r="BX95" s="57"/>
      <c r="BY95" s="57"/>
      <c r="BZ95" s="57"/>
    </row>
    <row r="96" spans="1:79" ht="12" customHeight="1" thickBot="1">
      <c r="A96" s="1186"/>
      <c r="C96" s="8" t="s">
        <v>50</v>
      </c>
      <c r="AP96" s="181"/>
      <c r="AQ96" s="199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3"/>
      <c r="BM96" s="1186"/>
      <c r="BP96" s="116"/>
      <c r="BQ96" s="116"/>
      <c r="BU96" s="57"/>
      <c r="BV96" s="57"/>
      <c r="BW96" s="57"/>
      <c r="BX96" s="57"/>
      <c r="BY96" s="57"/>
      <c r="BZ96" s="57"/>
    </row>
    <row r="97" spans="1:79" ht="11.25" customHeight="1">
      <c r="A97" s="1186"/>
      <c r="AP97" s="57"/>
      <c r="AQ97" s="82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M97" s="1186"/>
      <c r="BP97" s="116"/>
      <c r="BQ97" s="116"/>
      <c r="BU97" s="57"/>
      <c r="BV97" s="57"/>
      <c r="BW97" s="57"/>
      <c r="BX97" s="57"/>
      <c r="BY97" s="57"/>
      <c r="BZ97" s="57"/>
    </row>
    <row r="98" spans="1:79" ht="3" customHeight="1">
      <c r="A98" s="1186"/>
      <c r="B98" s="1186"/>
      <c r="C98" s="1186"/>
      <c r="D98" s="1186"/>
      <c r="E98" s="1186"/>
      <c r="F98" s="1186"/>
      <c r="G98" s="1186"/>
      <c r="H98" s="1186"/>
      <c r="I98" s="1186"/>
      <c r="J98" s="1186"/>
      <c r="K98" s="1186"/>
      <c r="L98" s="1186"/>
      <c r="M98" s="1186"/>
      <c r="N98" s="1186"/>
      <c r="O98" s="1186"/>
      <c r="P98" s="1186"/>
      <c r="Q98" s="1186"/>
      <c r="R98" s="1186"/>
      <c r="S98" s="1186"/>
      <c r="T98" s="1186"/>
      <c r="U98" s="1186"/>
      <c r="V98" s="1186"/>
      <c r="W98" s="1186"/>
      <c r="X98" s="1186"/>
      <c r="Y98" s="1186"/>
      <c r="Z98" s="1186"/>
      <c r="AA98" s="1186"/>
      <c r="AB98" s="1186"/>
      <c r="AC98" s="1186"/>
      <c r="AD98" s="1186"/>
      <c r="AE98" s="1186"/>
      <c r="AF98" s="1186"/>
      <c r="AG98" s="1186"/>
      <c r="AH98" s="1186"/>
      <c r="AI98" s="1186"/>
      <c r="AJ98" s="1186"/>
      <c r="AK98" s="1186"/>
      <c r="AL98" s="1186"/>
      <c r="AM98" s="1186"/>
      <c r="AN98" s="1186"/>
      <c r="AO98" s="1186"/>
      <c r="AP98" s="1186"/>
      <c r="AQ98" s="1186"/>
      <c r="AR98" s="1186"/>
      <c r="AS98" s="1186"/>
      <c r="AT98" s="1186"/>
      <c r="AU98" s="1186"/>
      <c r="AV98" s="1186"/>
      <c r="AW98" s="1186"/>
      <c r="AX98" s="1186"/>
      <c r="AY98" s="1186"/>
      <c r="AZ98" s="1186"/>
      <c r="BA98" s="1186"/>
      <c r="BB98" s="1186"/>
      <c r="BC98" s="1186"/>
      <c r="BD98" s="1186"/>
      <c r="BE98" s="1186"/>
      <c r="BF98" s="1186"/>
      <c r="BG98" s="1186"/>
      <c r="BH98" s="1186"/>
      <c r="BI98" s="1186"/>
      <c r="BJ98" s="1186"/>
      <c r="BK98" s="1186"/>
      <c r="BL98" s="1186"/>
      <c r="BM98" s="1186"/>
      <c r="BP98" s="116"/>
      <c r="BQ98" s="116"/>
      <c r="BU98" s="57"/>
      <c r="BV98" s="57"/>
      <c r="BW98" s="57"/>
      <c r="BX98" s="57"/>
      <c r="BY98" s="57"/>
      <c r="BZ98" s="57"/>
    </row>
    <row r="99" spans="1:79">
      <c r="BO99" s="57"/>
      <c r="BP99" s="57"/>
      <c r="BQ99" s="57"/>
      <c r="BR99" s="57"/>
      <c r="BS99" s="57"/>
      <c r="CA99" s="72"/>
    </row>
    <row r="100" spans="1:79">
      <c r="BO100" s="57"/>
      <c r="BP100" s="57"/>
      <c r="BQ100" s="73"/>
      <c r="BR100" s="57"/>
      <c r="BS100" s="57"/>
      <c r="CA100" s="73"/>
    </row>
    <row r="101" spans="1:79">
      <c r="BO101" s="57"/>
      <c r="BP101" s="57"/>
      <c r="BQ101" s="57"/>
      <c r="BR101" s="57"/>
      <c r="BS101" s="57"/>
    </row>
    <row r="102" spans="1:79">
      <c r="BN102" s="57"/>
      <c r="BO102" s="57"/>
      <c r="BP102" s="57"/>
      <c r="BQ102" s="57"/>
      <c r="BR102" s="57"/>
      <c r="BS102" s="57"/>
    </row>
    <row r="103" spans="1:79">
      <c r="BO103" s="57"/>
      <c r="BP103" s="57"/>
      <c r="BQ103" s="57"/>
      <c r="BR103" s="57"/>
      <c r="BS103" s="57"/>
    </row>
    <row r="104" spans="1:79">
      <c r="BO104" s="57"/>
      <c r="BP104" s="57"/>
      <c r="BQ104" s="57"/>
      <c r="BR104" s="57"/>
      <c r="BS104" s="57"/>
    </row>
    <row r="105" spans="1:79">
      <c r="BN105" s="57"/>
      <c r="BO105" s="57"/>
      <c r="BP105" s="57"/>
      <c r="BQ105" s="57"/>
      <c r="BR105" s="57"/>
      <c r="BS105" s="57"/>
    </row>
    <row r="106" spans="1:79">
      <c r="BO106" s="57"/>
      <c r="BP106" s="57"/>
      <c r="BQ106" s="57"/>
      <c r="BR106" s="57"/>
      <c r="BS106" s="57"/>
    </row>
    <row r="107" spans="1:79" ht="19.5" customHeight="1">
      <c r="BQ107" s="57"/>
    </row>
    <row r="108" spans="1:79" ht="6" customHeight="1"/>
    <row r="110" spans="1:79" ht="6" customHeight="1"/>
    <row r="111" spans="1:79" s="6" customFormat="1" ht="18.75" customHeight="1"/>
    <row r="112" spans="1:79" s="6" customFormat="1" ht="12.75" customHeight="1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pans="67:67" s="6" customFormat="1" ht="12.75"/>
    <row r="130" spans="67:67" s="6" customFormat="1" ht="12.75"/>
    <row r="131" spans="67:67" s="6" customFormat="1" ht="12.75"/>
    <row r="132" spans="67:67" s="6" customFormat="1" ht="12.75"/>
    <row r="133" spans="67:67" s="6" customFormat="1" ht="12.75"/>
    <row r="134" spans="67:67" s="6" customFormat="1" ht="12.75"/>
    <row r="135" spans="67:67" s="6" customFormat="1" ht="12.75"/>
    <row r="136" spans="67:67" s="6" customFormat="1" ht="12.75"/>
    <row r="137" spans="67:67" s="6" customFormat="1" ht="12.75"/>
    <row r="138" spans="67:67" s="6" customFormat="1" ht="12.75"/>
    <row r="139" spans="67:67" s="6" customFormat="1" ht="12.75"/>
    <row r="140" spans="67:67" s="6" customFormat="1" ht="12.75"/>
    <row r="141" spans="67:67" s="6" customFormat="1" ht="12.75">
      <c r="BO141" s="206"/>
    </row>
    <row r="142" spans="67:67" s="6" customFormat="1" ht="12.75"/>
    <row r="143" spans="67:67" s="6" customFormat="1" ht="12.75"/>
    <row r="144" spans="67:67" s="6" customFormat="1" ht="12.75"/>
    <row r="145" s="6" customFormat="1" ht="12.75"/>
    <row r="146" s="6" customFormat="1" ht="15.75" customHeight="1"/>
    <row r="147" s="6" customFormat="1" ht="15.75" customHeight="1"/>
    <row r="148" s="6" customFormat="1" ht="12.75"/>
    <row r="149" s="6" customFormat="1" ht="12.75"/>
    <row r="150" s="6" customFormat="1" ht="12.75"/>
    <row r="151" s="6" customFormat="1" ht="12.75"/>
    <row r="152" s="6" customFormat="1" ht="15.75" customHeight="1"/>
    <row r="155" ht="12.75" customHeight="1"/>
    <row r="156" ht="12" customHeight="1"/>
    <row r="157" ht="12" customHeight="1"/>
    <row r="160" ht="15" customHeight="1"/>
    <row r="162" ht="11.25" customHeight="1"/>
    <row r="163" ht="12" customHeight="1"/>
    <row r="164" ht="12.75" customHeight="1"/>
    <row r="176" ht="12.75" customHeight="1"/>
    <row r="177" ht="10.15" customHeight="1"/>
    <row r="178" ht="10.9" customHeight="1"/>
  </sheetData>
  <sheetProtection sheet="1" objects="1" scenarios="1"/>
  <mergeCells count="76">
    <mergeCell ref="AT16:BI16"/>
    <mergeCell ref="AI20:BJ21"/>
    <mergeCell ref="K16:AD16"/>
    <mergeCell ref="R54:AI54"/>
    <mergeCell ref="AY54:BG54"/>
    <mergeCell ref="AJ25:AO25"/>
    <mergeCell ref="AS25:AW25"/>
    <mergeCell ref="BA23:BL23"/>
    <mergeCell ref="AP25:AR25"/>
    <mergeCell ref="BA24:BL24"/>
    <mergeCell ref="BH25:BK25"/>
    <mergeCell ref="AK23:AT23"/>
    <mergeCell ref="AF23:AI23"/>
    <mergeCell ref="BB25:BE25"/>
    <mergeCell ref="AG51:BL51"/>
    <mergeCell ref="Y14:AN14"/>
    <mergeCell ref="G12:Y12"/>
    <mergeCell ref="E14:L14"/>
    <mergeCell ref="B25:I25"/>
    <mergeCell ref="J25:L25"/>
    <mergeCell ref="M25:P25"/>
    <mergeCell ref="T25:W25"/>
    <mergeCell ref="Q25:S25"/>
    <mergeCell ref="B23:L23"/>
    <mergeCell ref="M23:Q23"/>
    <mergeCell ref="R23:AE23"/>
    <mergeCell ref="B14:D14"/>
    <mergeCell ref="AE16:AN16"/>
    <mergeCell ref="X25:Z25"/>
    <mergeCell ref="AU23:AZ23"/>
    <mergeCell ref="AR54:AX54"/>
    <mergeCell ref="B6:D6"/>
    <mergeCell ref="BF14:BL14"/>
    <mergeCell ref="J8:T8"/>
    <mergeCell ref="V8:AK8"/>
    <mergeCell ref="AO8:BL8"/>
    <mergeCell ref="S10:AI10"/>
    <mergeCell ref="AO12:BK12"/>
    <mergeCell ref="AO10:AS10"/>
    <mergeCell ref="B10:E10"/>
    <mergeCell ref="F10:M10"/>
    <mergeCell ref="N10:R10"/>
    <mergeCell ref="AK10:AN10"/>
    <mergeCell ref="AT10:BL10"/>
    <mergeCell ref="A1:A98"/>
    <mergeCell ref="AI80:AP81"/>
    <mergeCell ref="AQ80:BJ81"/>
    <mergeCell ref="B81:AF84"/>
    <mergeCell ref="B1:BL1"/>
    <mergeCell ref="H74:BH75"/>
    <mergeCell ref="I77:BL78"/>
    <mergeCell ref="I60:BL61"/>
    <mergeCell ref="I63:BL64"/>
    <mergeCell ref="Q31:BK31"/>
    <mergeCell ref="Z92:AO92"/>
    <mergeCell ref="F70:BK70"/>
    <mergeCell ref="F67:BK68"/>
    <mergeCell ref="F69:BK69"/>
    <mergeCell ref="I65:BK66"/>
    <mergeCell ref="AT57:BK57"/>
    <mergeCell ref="BM1:BM98"/>
    <mergeCell ref="H54:P54"/>
    <mergeCell ref="AJ54:AP54"/>
    <mergeCell ref="B60:H60"/>
    <mergeCell ref="B63:H63"/>
    <mergeCell ref="Z91:AO91"/>
    <mergeCell ref="B77:H77"/>
    <mergeCell ref="E74:G74"/>
    <mergeCell ref="B98:BL98"/>
    <mergeCell ref="AJ33:AX33"/>
    <mergeCell ref="F72:BK72"/>
    <mergeCell ref="F71:BK71"/>
    <mergeCell ref="D31:O31"/>
    <mergeCell ref="BK20:BL21"/>
    <mergeCell ref="AA25:AD25"/>
    <mergeCell ref="AE25:AI25"/>
  </mergeCells>
  <phoneticPr fontId="18" type="noConversion"/>
  <pageMargins left="1.4566929133858268" right="0" top="0" bottom="0" header="0.35433070866141736" footer="0"/>
  <pageSetup paperSize="9" scale="7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U89"/>
  <sheetViews>
    <sheetView zoomScale="85" zoomScaleNormal="85" workbookViewId="0">
      <selection activeCell="BP48" sqref="BP48"/>
    </sheetView>
  </sheetViews>
  <sheetFormatPr baseColWidth="10" defaultColWidth="9.140625" defaultRowHeight="12.75"/>
  <cols>
    <col min="1" max="14" width="1.7109375" customWidth="1"/>
    <col min="15" max="15" width="3.140625" customWidth="1"/>
    <col min="16" max="21" width="1.7109375" customWidth="1"/>
    <col min="22" max="22" width="2.85546875" customWidth="1"/>
    <col min="23" max="28" width="1.7109375" customWidth="1"/>
    <col min="29" max="29" width="3.140625" customWidth="1"/>
    <col min="30" max="32" width="1.7109375" customWidth="1"/>
    <col min="33" max="33" width="3" customWidth="1"/>
    <col min="34" max="34" width="2.5703125" customWidth="1"/>
    <col min="35" max="35" width="1.42578125" customWidth="1"/>
    <col min="36" max="39" width="1.7109375" customWidth="1"/>
    <col min="40" max="40" width="3.140625" customWidth="1"/>
    <col min="41" max="41" width="1.7109375" customWidth="1"/>
    <col min="42" max="42" width="2.140625" customWidth="1"/>
    <col min="43" max="47" width="1.7109375" customWidth="1"/>
    <col min="48" max="48" width="3.28515625" customWidth="1"/>
    <col min="49" max="51" width="1.7109375" customWidth="1"/>
    <col min="52" max="52" width="2.7109375" customWidth="1"/>
    <col min="53" max="57" width="1.7109375" customWidth="1"/>
    <col min="58" max="58" width="2.85546875" customWidth="1"/>
    <col min="59" max="62" width="1.7109375" customWidth="1"/>
    <col min="63" max="63" width="3.5703125" customWidth="1"/>
    <col min="64" max="64" width="1.7109375" customWidth="1"/>
    <col min="65" max="65" width="1.5703125" customWidth="1"/>
    <col min="66" max="256" width="11.42578125" customWidth="1"/>
  </cols>
  <sheetData>
    <row r="1" spans="1:68" ht="6.75" customHeight="1">
      <c r="A1" s="619"/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  <c r="BB1" s="1256"/>
      <c r="BC1" s="1256"/>
      <c r="BD1" s="1256"/>
      <c r="BE1" s="1256"/>
      <c r="BF1" s="1256"/>
      <c r="BG1" s="1256"/>
      <c r="BH1" s="1256"/>
      <c r="BI1" s="1256"/>
      <c r="BJ1" s="1256"/>
      <c r="BK1" s="1256"/>
      <c r="BL1" s="1256"/>
      <c r="BM1" s="619"/>
    </row>
    <row r="2" spans="1:68" ht="15.75">
      <c r="A2" s="619"/>
      <c r="B2" s="1261" t="s">
        <v>11</v>
      </c>
      <c r="C2" s="1261"/>
      <c r="D2" s="1261"/>
      <c r="E2" s="1261"/>
      <c r="F2" s="1261"/>
      <c r="G2" s="1261"/>
      <c r="H2" s="1261"/>
      <c r="I2" s="1261"/>
      <c r="J2" s="1261"/>
      <c r="K2" s="1262">
        <f>DATOS!$AE$122</f>
        <v>0</v>
      </c>
      <c r="L2" s="1262"/>
      <c r="M2" s="1262"/>
      <c r="N2" s="1262"/>
      <c r="O2" s="1262"/>
      <c r="P2" s="1259" t="s">
        <v>12</v>
      </c>
      <c r="Q2" s="1259"/>
      <c r="R2" s="1259"/>
      <c r="S2" s="1259"/>
      <c r="T2" s="1259"/>
      <c r="U2" s="1259"/>
      <c r="V2" s="1259"/>
      <c r="W2" s="1274" t="s">
        <v>13</v>
      </c>
      <c r="X2" s="1275"/>
      <c r="Y2" s="1276"/>
      <c r="Z2" s="1262">
        <v>1.65</v>
      </c>
      <c r="AA2" s="1262"/>
      <c r="AB2" s="1262"/>
      <c r="AC2" s="1262"/>
      <c r="AD2" s="1259" t="s">
        <v>14</v>
      </c>
      <c r="AE2" s="1259"/>
      <c r="AF2" s="1259"/>
      <c r="AG2" s="960"/>
      <c r="AH2" s="960"/>
      <c r="AI2" s="960"/>
      <c r="AJ2" s="1259" t="s">
        <v>15</v>
      </c>
      <c r="AK2" s="1259"/>
      <c r="AL2" s="1259"/>
      <c r="AM2" s="1257">
        <f>DATOS!$F$95</f>
        <v>4640</v>
      </c>
      <c r="AN2" s="1257"/>
      <c r="AO2" s="1257"/>
      <c r="AP2" s="1257"/>
      <c r="AQ2" s="1259" t="s">
        <v>16</v>
      </c>
      <c r="AR2" s="1259"/>
      <c r="AS2" s="1259"/>
      <c r="AT2" s="960"/>
      <c r="AU2" s="960"/>
      <c r="AV2" s="960"/>
      <c r="AW2" s="960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19"/>
    </row>
    <row r="3" spans="1:68" ht="15.75">
      <c r="A3" s="619"/>
      <c r="B3" s="1274" t="s">
        <v>17</v>
      </c>
      <c r="C3" s="1275"/>
      <c r="D3" s="1275"/>
      <c r="E3" s="1275"/>
      <c r="F3" s="1275"/>
      <c r="G3" s="1275"/>
      <c r="H3" s="1275"/>
      <c r="I3" s="1275"/>
      <c r="J3" s="1276"/>
      <c r="K3" s="1262">
        <f>DATOS!$L$83</f>
        <v>1.2</v>
      </c>
      <c r="L3" s="1262"/>
      <c r="M3" s="1262"/>
      <c r="N3" s="1262"/>
      <c r="O3" s="1262"/>
      <c r="P3" s="1259" t="s">
        <v>18</v>
      </c>
      <c r="Q3" s="1259"/>
      <c r="R3" s="1259"/>
      <c r="S3" s="1282">
        <f>DATOS!$AD$122</f>
        <v>0</v>
      </c>
      <c r="T3" s="1282"/>
      <c r="U3" s="1282"/>
      <c r="V3" s="1282"/>
      <c r="W3" s="1274" t="s">
        <v>19</v>
      </c>
      <c r="X3" s="1275"/>
      <c r="Y3" s="1276"/>
      <c r="Z3" s="960"/>
      <c r="AA3" s="960"/>
      <c r="AB3" s="960"/>
      <c r="AC3" s="960"/>
      <c r="AD3" s="1259" t="s">
        <v>20</v>
      </c>
      <c r="AE3" s="1259"/>
      <c r="AF3" s="1259"/>
      <c r="AG3" s="1257">
        <f>DATOS!$AF$122</f>
        <v>0</v>
      </c>
      <c r="AH3" s="1257"/>
      <c r="AI3" s="1257"/>
      <c r="AJ3" s="1259" t="s">
        <v>21</v>
      </c>
      <c r="AK3" s="1259"/>
      <c r="AL3" s="1259"/>
      <c r="AM3" s="960"/>
      <c r="AN3" s="960"/>
      <c r="AO3" s="960"/>
      <c r="AP3" s="960"/>
      <c r="AQ3" s="1259" t="s">
        <v>22</v>
      </c>
      <c r="AR3" s="1259"/>
      <c r="AS3" s="1259"/>
      <c r="AT3" s="960"/>
      <c r="AU3" s="960"/>
      <c r="AV3" s="960"/>
      <c r="AW3" s="960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19"/>
    </row>
    <row r="4" spans="1:68" ht="15.75">
      <c r="A4" s="619"/>
      <c r="B4" s="1268" t="s">
        <v>23</v>
      </c>
      <c r="C4" s="1268"/>
      <c r="D4" s="1268"/>
      <c r="E4" s="1268"/>
      <c r="F4" s="1268"/>
      <c r="G4" s="1268"/>
      <c r="H4" s="1268"/>
      <c r="I4" s="1268"/>
      <c r="J4" s="1268"/>
      <c r="K4" s="1260">
        <f>DATOS!$AH$122</f>
        <v>0</v>
      </c>
      <c r="L4" s="1260"/>
      <c r="M4" s="1260"/>
      <c r="N4" s="1260"/>
      <c r="O4" s="1260"/>
      <c r="P4" s="1259" t="s">
        <v>24</v>
      </c>
      <c r="Q4" s="1259"/>
      <c r="R4" s="1259"/>
      <c r="S4" s="960"/>
      <c r="T4" s="960"/>
      <c r="U4" s="960"/>
      <c r="V4" s="960"/>
      <c r="W4" s="1274" t="s">
        <v>25</v>
      </c>
      <c r="X4" s="1275"/>
      <c r="Y4" s="1276"/>
      <c r="Z4" s="1258"/>
      <c r="AA4" s="1258"/>
      <c r="AB4" s="1258"/>
      <c r="AC4" s="1258"/>
      <c r="AD4" s="1259" t="s">
        <v>26</v>
      </c>
      <c r="AE4" s="1259"/>
      <c r="AF4" s="1259"/>
      <c r="AG4" s="960"/>
      <c r="AH4" s="960"/>
      <c r="AI4" s="960"/>
      <c r="AJ4" s="1259" t="s">
        <v>27</v>
      </c>
      <c r="AK4" s="1259"/>
      <c r="AL4" s="1259"/>
      <c r="AM4" s="960"/>
      <c r="AN4" s="960"/>
      <c r="AO4" s="960"/>
      <c r="AP4" s="960"/>
      <c r="AQ4" s="1259" t="s">
        <v>257</v>
      </c>
      <c r="AR4" s="1259"/>
      <c r="AS4" s="1259"/>
      <c r="AT4" s="1283">
        <f>DATOS!$AG$122</f>
        <v>0</v>
      </c>
      <c r="AU4" s="1284"/>
      <c r="AV4" s="1284"/>
      <c r="AW4" s="1285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19"/>
    </row>
    <row r="5" spans="1:68" ht="15.75">
      <c r="A5" s="619"/>
      <c r="B5" s="1268" t="s">
        <v>650</v>
      </c>
      <c r="C5" s="1268"/>
      <c r="D5" s="1268"/>
      <c r="E5" s="1268"/>
      <c r="F5" s="1268"/>
      <c r="G5" s="1268"/>
      <c r="H5" s="1268"/>
      <c r="I5" s="1268"/>
      <c r="J5" s="1268"/>
      <c r="K5" s="1260">
        <f>DATOS!$AI$122</f>
        <v>0</v>
      </c>
      <c r="L5" s="1260"/>
      <c r="M5" s="1260"/>
      <c r="N5" s="1260"/>
      <c r="O5" s="1260"/>
      <c r="P5" s="1259" t="s">
        <v>29</v>
      </c>
      <c r="Q5" s="1259"/>
      <c r="R5" s="1259"/>
      <c r="S5" s="960"/>
      <c r="T5" s="960"/>
      <c r="U5" s="960"/>
      <c r="V5" s="960"/>
      <c r="W5" s="1274" t="s">
        <v>30</v>
      </c>
      <c r="X5" s="1275"/>
      <c r="Y5" s="1276"/>
      <c r="Z5" s="1257">
        <f>DATOS!$F$96</f>
        <v>20880</v>
      </c>
      <c r="AA5" s="1257"/>
      <c r="AB5" s="1257"/>
      <c r="AC5" s="1257"/>
      <c r="AD5" s="1259" t="s">
        <v>31</v>
      </c>
      <c r="AE5" s="1259"/>
      <c r="AF5" s="1259"/>
      <c r="AG5" s="960"/>
      <c r="AH5" s="960"/>
      <c r="AI5" s="960"/>
      <c r="AJ5" s="1259" t="s">
        <v>32</v>
      </c>
      <c r="AK5" s="1259"/>
      <c r="AL5" s="1259"/>
      <c r="AM5" s="1280"/>
      <c r="AN5" s="1280"/>
      <c r="AO5" s="1280"/>
      <c r="AP5" s="1280"/>
      <c r="AQ5" s="960" t="s">
        <v>649</v>
      </c>
      <c r="AR5" s="1280"/>
      <c r="AS5" s="1280"/>
      <c r="AT5" s="960"/>
      <c r="AU5" s="960"/>
      <c r="AV5" s="960"/>
      <c r="AW5" s="960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19"/>
    </row>
    <row r="6" spans="1:68">
      <c r="A6" s="619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2"/>
      <c r="AY6" s="622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19"/>
    </row>
    <row r="7" spans="1:68" ht="15.75">
      <c r="A7" s="619"/>
      <c r="B7" s="1273" t="s">
        <v>677</v>
      </c>
      <c r="C7" s="1273"/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3"/>
      <c r="U7" s="1273"/>
      <c r="V7" s="1273"/>
      <c r="W7" s="1273"/>
      <c r="X7" s="1273"/>
      <c r="Y7" s="1273"/>
      <c r="Z7" s="1273"/>
      <c r="AA7" s="1273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1186"/>
      <c r="AS7" s="1186"/>
      <c r="AT7" s="1186"/>
      <c r="AU7" s="1186"/>
      <c r="AV7" s="1186"/>
      <c r="AW7" s="1186"/>
      <c r="AX7" s="622"/>
      <c r="AY7" s="622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19"/>
    </row>
    <row r="8" spans="1:68" ht="13.5" thickBot="1">
      <c r="A8" s="619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19"/>
    </row>
    <row r="9" spans="1:68" ht="27" thickBot="1">
      <c r="A9" s="619"/>
      <c r="B9" s="1271" t="s">
        <v>252</v>
      </c>
      <c r="C9" s="1272"/>
      <c r="D9" s="1272"/>
      <c r="E9" s="1272"/>
      <c r="F9" s="1272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0">
        <f>DATOS!$J$138</f>
        <v>0</v>
      </c>
      <c r="S9" s="1270"/>
      <c r="T9" s="1270"/>
      <c r="U9" s="1270"/>
      <c r="V9" s="1270"/>
      <c r="W9" s="1270"/>
      <c r="X9" s="1270"/>
      <c r="Y9" s="1270"/>
      <c r="Z9" s="1270"/>
      <c r="AA9" s="1270"/>
      <c r="AB9" s="622"/>
      <c r="AC9" s="622"/>
      <c r="AD9" s="622"/>
      <c r="AE9" s="622"/>
      <c r="AF9" s="622"/>
      <c r="AG9" s="622"/>
      <c r="AH9" s="623"/>
      <c r="AI9" s="1278">
        <f>DATOS!$L$146</f>
        <v>0</v>
      </c>
      <c r="AJ9" s="1279"/>
      <c r="AK9" s="1279"/>
      <c r="AL9" s="1281" t="s">
        <v>238</v>
      </c>
      <c r="AM9" s="1281"/>
      <c r="AN9" s="1281"/>
      <c r="AO9" s="1281"/>
      <c r="AP9" s="1281"/>
      <c r="AQ9" s="1281"/>
      <c r="AR9" s="1281"/>
      <c r="AS9" s="1281"/>
      <c r="AT9" s="1281"/>
      <c r="AU9" s="1281"/>
      <c r="AV9" s="329"/>
      <c r="AW9" s="329"/>
      <c r="AX9" s="330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19"/>
      <c r="BO9" s="650"/>
    </row>
    <row r="10" spans="1:68" ht="8.25" customHeight="1">
      <c r="A10" s="619"/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19"/>
    </row>
    <row r="11" spans="1:68" ht="6.75" customHeight="1">
      <c r="A11" s="619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19"/>
    </row>
    <row r="12" spans="1:68">
      <c r="A12" s="619"/>
      <c r="B12" s="118" t="s">
        <v>34</v>
      </c>
      <c r="C12" s="6"/>
      <c r="D12" s="6"/>
      <c r="E12" s="6"/>
      <c r="F12" s="6"/>
      <c r="G12" s="6"/>
      <c r="H12" s="6"/>
      <c r="I12" s="6"/>
      <c r="J12" s="117"/>
      <c r="K12" s="117"/>
      <c r="L12" s="117"/>
      <c r="M12" s="117"/>
      <c r="N12" s="117"/>
      <c r="O12" s="11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77"/>
      <c r="AJ12" s="6"/>
      <c r="AK12" s="6"/>
      <c r="BL12" s="1277"/>
      <c r="BM12" s="619"/>
    </row>
    <row r="13" spans="1:68">
      <c r="A13" s="619"/>
      <c r="B13" s="118" t="s">
        <v>123</v>
      </c>
      <c r="C13" s="6"/>
      <c r="D13" s="6"/>
      <c r="E13" s="5"/>
      <c r="F13" s="6"/>
      <c r="G13" s="6"/>
      <c r="H13" s="6"/>
      <c r="I13" s="6"/>
      <c r="J13" s="117"/>
      <c r="K13" s="117"/>
      <c r="L13" s="117"/>
      <c r="M13" s="6"/>
      <c r="N13" s="6"/>
      <c r="O13" s="1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277"/>
      <c r="AJ13" s="5" t="s">
        <v>132</v>
      </c>
      <c r="AK13" s="6"/>
      <c r="AL13" s="6"/>
      <c r="AM13" s="6"/>
      <c r="AN13" s="6"/>
      <c r="AO13" s="117"/>
      <c r="AP13" s="6"/>
      <c r="AQ13" s="6"/>
      <c r="AR13" s="6"/>
      <c r="AS13" s="6"/>
      <c r="AT13" s="6"/>
      <c r="AU13" s="6"/>
      <c r="AV13" s="6"/>
      <c r="AW13" s="6"/>
      <c r="AX13" s="6"/>
      <c r="AY13" s="117"/>
      <c r="AZ13" s="117"/>
      <c r="BA13" s="117"/>
      <c r="BB13" s="117"/>
      <c r="BC13" s="117"/>
      <c r="BD13" s="117"/>
      <c r="BE13" s="6"/>
      <c r="BF13" s="6"/>
      <c r="BG13" s="6"/>
      <c r="BH13" s="6"/>
      <c r="BI13" s="6"/>
      <c r="BJ13" s="6"/>
      <c r="BK13" s="6"/>
      <c r="BL13" s="1277"/>
      <c r="BM13" s="619"/>
      <c r="BN13" s="6"/>
      <c r="BO13" s="6"/>
      <c r="BP13" s="6"/>
    </row>
    <row r="14" spans="1:68">
      <c r="A14" s="619"/>
      <c r="B14" s="7" t="s">
        <v>35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269">
        <f>DATOS!$AE$188</f>
        <v>0</v>
      </c>
      <c r="N14" s="1269"/>
      <c r="O14" s="1269"/>
      <c r="P14" s="1269"/>
      <c r="Q14" s="1269"/>
      <c r="R14" s="1269"/>
      <c r="S14" s="1269"/>
      <c r="T14" s="126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277"/>
      <c r="AJ14" s="5" t="s">
        <v>202</v>
      </c>
      <c r="AK14" s="6"/>
      <c r="AL14" s="6"/>
      <c r="AM14" s="6"/>
      <c r="AN14" s="6"/>
      <c r="AO14" s="1255">
        <v>60</v>
      </c>
      <c r="AP14" s="1255"/>
      <c r="AQ14" s="1255"/>
      <c r="AR14" s="6" t="s">
        <v>313</v>
      </c>
      <c r="AS14" s="203"/>
      <c r="AT14" s="6"/>
      <c r="AU14" s="6"/>
      <c r="AV14" s="6"/>
      <c r="AW14" s="6"/>
      <c r="AX14" s="6"/>
      <c r="AY14" s="117"/>
      <c r="AZ14" s="1250">
        <f>DATOS!$AE$195</f>
        <v>0</v>
      </c>
      <c r="BA14" s="1250"/>
      <c r="BB14" s="1250"/>
      <c r="BC14" s="1250"/>
      <c r="BD14" s="1250"/>
      <c r="BE14" s="1250"/>
      <c r="BF14" s="1250"/>
      <c r="BG14" s="1250"/>
      <c r="BL14" s="1277"/>
      <c r="BM14" s="619"/>
      <c r="BP14" s="8"/>
    </row>
    <row r="15" spans="1:68" ht="15.75">
      <c r="A15" s="619"/>
      <c r="B15" s="7" t="s">
        <v>36</v>
      </c>
      <c r="C15" s="121"/>
      <c r="D15" s="45"/>
      <c r="E15" s="6"/>
      <c r="F15" s="6"/>
      <c r="G15" s="6"/>
      <c r="H15" s="6"/>
      <c r="I15" s="6"/>
      <c r="J15" s="6"/>
      <c r="K15" s="6"/>
      <c r="L15" s="6"/>
      <c r="M15" s="1250">
        <f>DATOS!$AE$192</f>
        <v>0</v>
      </c>
      <c r="N15" s="1250"/>
      <c r="O15" s="1250"/>
      <c r="P15" s="1250"/>
      <c r="Q15" s="1250"/>
      <c r="R15" s="1250"/>
      <c r="S15" s="1250"/>
      <c r="T15" s="1250"/>
      <c r="U15" s="205"/>
      <c r="V15" s="6"/>
      <c r="W15" s="6"/>
      <c r="X15" s="6"/>
      <c r="Y15" s="6"/>
      <c r="Z15" s="1250">
        <f>DATOS!$AE$189</f>
        <v>0</v>
      </c>
      <c r="AA15" s="1250"/>
      <c r="AB15" s="1250"/>
      <c r="AC15" s="1250"/>
      <c r="AD15" s="1250"/>
      <c r="AE15" s="1250"/>
      <c r="AF15" s="1250"/>
      <c r="AG15" s="1250"/>
      <c r="AH15" s="1250"/>
      <c r="AI15" s="1277"/>
      <c r="AJ15" s="6" t="s">
        <v>45</v>
      </c>
      <c r="AK15" s="6"/>
      <c r="AL15" s="6"/>
      <c r="AM15" s="6"/>
      <c r="AN15" s="6"/>
      <c r="AO15" s="117"/>
      <c r="AP15" s="6"/>
      <c r="AQ15" s="117"/>
      <c r="AR15" s="6"/>
      <c r="AS15" s="117" t="s">
        <v>40</v>
      </c>
      <c r="AT15" s="117"/>
      <c r="AU15" s="117"/>
      <c r="AV15" s="127"/>
      <c r="AW15" s="127"/>
      <c r="AX15" s="127"/>
      <c r="AY15" s="117"/>
      <c r="AZ15" s="1247">
        <f>SUM(AZ14)</f>
        <v>0</v>
      </c>
      <c r="BA15" s="1247"/>
      <c r="BB15" s="1247"/>
      <c r="BC15" s="1247"/>
      <c r="BD15" s="1247"/>
      <c r="BE15" s="1247"/>
      <c r="BF15" s="1247"/>
      <c r="BG15" s="1247"/>
      <c r="BL15" s="1277"/>
      <c r="BM15" s="619"/>
      <c r="BP15" s="8"/>
    </row>
    <row r="16" spans="1:68">
      <c r="A16" s="619"/>
      <c r="B16" s="1252">
        <f>DATOS!$AE$196</f>
        <v>0</v>
      </c>
      <c r="C16" s="1252"/>
      <c r="D16" s="1252"/>
      <c r="E16" s="6" t="s">
        <v>224</v>
      </c>
      <c r="F16" s="6"/>
      <c r="G16" s="6"/>
      <c r="H16" s="6"/>
      <c r="I16" s="6"/>
      <c r="J16" s="6"/>
      <c r="K16" s="6"/>
      <c r="L16" s="6"/>
      <c r="M16" s="1250">
        <f>DATOS!$AE$193</f>
        <v>0</v>
      </c>
      <c r="N16" s="1250"/>
      <c r="O16" s="1250"/>
      <c r="P16" s="1250"/>
      <c r="Q16" s="1250"/>
      <c r="R16" s="1250"/>
      <c r="S16" s="1250"/>
      <c r="T16" s="1250"/>
      <c r="U16" s="6"/>
      <c r="V16" s="6"/>
      <c r="W16" s="6"/>
      <c r="X16" s="6"/>
      <c r="Y16" s="6"/>
      <c r="Z16" s="1250">
        <f>DATOS!$AE$190</f>
        <v>0</v>
      </c>
      <c r="AA16" s="1250"/>
      <c r="AB16" s="1250"/>
      <c r="AC16" s="1250"/>
      <c r="AD16" s="1250"/>
      <c r="AE16" s="1250"/>
      <c r="AF16" s="1250"/>
      <c r="AG16" s="1250"/>
      <c r="AH16" s="1250"/>
      <c r="AI16" s="1277"/>
      <c r="AJ16" s="8"/>
      <c r="AK16" s="9"/>
      <c r="AL16" s="8"/>
      <c r="AM16" s="8"/>
      <c r="AN16" s="8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8"/>
      <c r="BF16" s="8"/>
      <c r="BG16" s="8"/>
      <c r="BH16" s="8"/>
      <c r="BI16" s="8"/>
      <c r="BJ16" s="8"/>
      <c r="BK16" s="8"/>
      <c r="BL16" s="1277"/>
      <c r="BM16" s="619"/>
      <c r="BN16" s="8"/>
      <c r="BO16" s="8"/>
      <c r="BP16" s="8"/>
    </row>
    <row r="17" spans="1:68" ht="15.75">
      <c r="A17" s="619"/>
      <c r="B17" s="6" t="s">
        <v>37</v>
      </c>
      <c r="C17" s="6"/>
      <c r="D17" s="6"/>
      <c r="E17" s="6"/>
      <c r="F17" s="119">
        <f>DATOS!$AE$191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247">
        <f>DATOS!$AE$191</f>
        <v>0</v>
      </c>
      <c r="AA17" s="1247"/>
      <c r="AB17" s="1247"/>
      <c r="AC17" s="1247"/>
      <c r="AD17" s="1247"/>
      <c r="AE17" s="1247"/>
      <c r="AF17" s="1247"/>
      <c r="AG17" s="1247"/>
      <c r="AH17" s="1247"/>
      <c r="AI17" s="1277"/>
      <c r="AJ17" s="5" t="s">
        <v>201</v>
      </c>
      <c r="AK17" s="6"/>
      <c r="AL17" s="6"/>
      <c r="AM17" s="6"/>
      <c r="AN17" s="6"/>
      <c r="AO17" s="6"/>
      <c r="AP17" s="1255">
        <v>40</v>
      </c>
      <c r="AQ17" s="1255"/>
      <c r="AR17" s="1255"/>
      <c r="AS17" s="6" t="s">
        <v>47</v>
      </c>
      <c r="AT17" s="117"/>
      <c r="AU17" s="117"/>
      <c r="AV17" s="6"/>
      <c r="AW17" s="6"/>
      <c r="AX17" s="6"/>
      <c r="AY17" s="117"/>
      <c r="AZ17" s="1250">
        <f>DATOS!$AE$197</f>
        <v>0</v>
      </c>
      <c r="BA17" s="1250"/>
      <c r="BB17" s="1250"/>
      <c r="BC17" s="1250"/>
      <c r="BD17" s="1250"/>
      <c r="BE17" s="1250"/>
      <c r="BF17" s="1250"/>
      <c r="BG17" s="1250"/>
      <c r="BL17" s="1277"/>
      <c r="BM17" s="619"/>
      <c r="BP17" s="238"/>
    </row>
    <row r="18" spans="1:68" ht="12.75" customHeight="1">
      <c r="A18" s="619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1254" t="s">
        <v>203</v>
      </c>
      <c r="AK18" s="1254"/>
      <c r="AL18" s="1254"/>
      <c r="AM18" s="1254"/>
      <c r="AN18" s="1254"/>
      <c r="AO18" s="1254"/>
      <c r="AP18" s="1254"/>
      <c r="AQ18" s="1254"/>
      <c r="AR18" s="1254"/>
      <c r="AS18" s="1254"/>
      <c r="AT18" s="1254"/>
      <c r="AU18" s="1254"/>
      <c r="AV18" s="1254"/>
      <c r="AW18" s="1254"/>
      <c r="AX18" s="6"/>
      <c r="AY18" s="117"/>
      <c r="AZ18" s="1251">
        <f>DATOS!$X$199</f>
        <v>0</v>
      </c>
      <c r="BA18" s="1251"/>
      <c r="BB18" s="1251"/>
      <c r="BC18" s="1251"/>
      <c r="BD18" s="1251"/>
      <c r="BE18" s="1251"/>
      <c r="BF18" s="1251"/>
      <c r="BG18" s="1251"/>
      <c r="BL18" s="1277"/>
      <c r="BM18" s="619"/>
      <c r="BP18" s="102"/>
    </row>
    <row r="19" spans="1:68">
      <c r="A19" s="619"/>
      <c r="B19" s="118" t="s">
        <v>124</v>
      </c>
      <c r="C19" s="6"/>
      <c r="D19" s="6"/>
      <c r="E19" s="6"/>
      <c r="F19" s="6"/>
      <c r="G19" s="6"/>
      <c r="H19" s="6"/>
      <c r="I19" s="6"/>
      <c r="J19" s="117"/>
      <c r="K19" s="117"/>
      <c r="L19" s="111"/>
      <c r="M19" s="117"/>
      <c r="N19" s="117"/>
      <c r="O19" s="11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277"/>
      <c r="AJ19" s="1254"/>
      <c r="AK19" s="1254"/>
      <c r="AL19" s="1254"/>
      <c r="AM19" s="1254"/>
      <c r="AN19" s="1254"/>
      <c r="AO19" s="1254"/>
      <c r="AP19" s="1254"/>
      <c r="AQ19" s="1254"/>
      <c r="AR19" s="1254"/>
      <c r="AS19" s="1254"/>
      <c r="AT19" s="1254"/>
      <c r="AU19" s="1254"/>
      <c r="AV19" s="1254"/>
      <c r="AW19" s="1254"/>
      <c r="AZ19" s="1251"/>
      <c r="BA19" s="1251"/>
      <c r="BB19" s="1251"/>
      <c r="BC19" s="1251"/>
      <c r="BD19" s="1251"/>
      <c r="BE19" s="1251"/>
      <c r="BF19" s="1251"/>
      <c r="BG19" s="1251"/>
      <c r="BL19" s="1277"/>
      <c r="BM19" s="619"/>
      <c r="BP19" s="8"/>
    </row>
    <row r="20" spans="1:68" ht="15.75">
      <c r="A20" s="619"/>
      <c r="B20" s="7" t="s">
        <v>38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277"/>
      <c r="AJ20" s="6" t="s">
        <v>48</v>
      </c>
      <c r="AZ20" s="1247">
        <f>SUM(AZ17+AZ18)</f>
        <v>0</v>
      </c>
      <c r="BA20" s="1247"/>
      <c r="BB20" s="1247"/>
      <c r="BC20" s="1247"/>
      <c r="BD20" s="1247"/>
      <c r="BE20" s="1247"/>
      <c r="BF20" s="1247"/>
      <c r="BG20" s="1247"/>
      <c r="BL20" s="1277"/>
      <c r="BM20" s="619"/>
      <c r="BP20" s="8"/>
    </row>
    <row r="21" spans="1:68">
      <c r="A21" s="619"/>
      <c r="B21" s="7" t="s">
        <v>35</v>
      </c>
      <c r="C21" s="6"/>
      <c r="D21" s="6" t="s">
        <v>39</v>
      </c>
      <c r="E21" s="6"/>
      <c r="F21" s="6"/>
      <c r="G21" s="6"/>
      <c r="H21" s="6"/>
      <c r="I21" s="6"/>
      <c r="J21" s="6"/>
      <c r="K21" s="6"/>
      <c r="L21" s="6"/>
      <c r="M21" s="6"/>
      <c r="N21" s="1269">
        <f>DATOS!$F$99</f>
        <v>0</v>
      </c>
      <c r="O21" s="1269"/>
      <c r="P21" s="1269"/>
      <c r="Q21" s="1269"/>
      <c r="R21" s="1269"/>
      <c r="S21" s="1269"/>
      <c r="T21" s="126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277"/>
      <c r="AJ21" s="6"/>
      <c r="AK21" s="6"/>
      <c r="BH21" s="6"/>
      <c r="BI21" s="6"/>
      <c r="BJ21" s="6"/>
      <c r="BK21" s="6"/>
      <c r="BL21" s="1277"/>
      <c r="BM21" s="619"/>
    </row>
    <row r="22" spans="1:68" ht="15.75">
      <c r="A22" s="619"/>
      <c r="B22" s="7" t="s">
        <v>36</v>
      </c>
      <c r="C22" s="121"/>
      <c r="D22" s="123"/>
      <c r="E22" s="6"/>
      <c r="F22" s="122"/>
      <c r="G22" s="6"/>
      <c r="H22" s="6"/>
      <c r="I22" s="6"/>
      <c r="J22" s="6"/>
      <c r="K22" s="6"/>
      <c r="L22" s="6"/>
      <c r="M22" s="6"/>
      <c r="N22" s="1250">
        <f>DATOS!$V$216</f>
        <v>0</v>
      </c>
      <c r="O22" s="1250"/>
      <c r="P22" s="1250"/>
      <c r="Q22" s="1250"/>
      <c r="R22" s="1250"/>
      <c r="S22" s="1250"/>
      <c r="T22" s="1250"/>
      <c r="U22" s="205"/>
      <c r="V22" s="6"/>
      <c r="W22" s="6"/>
      <c r="X22" s="6"/>
      <c r="Y22" s="6"/>
      <c r="Z22" s="1250">
        <f>DATOS!$X$216</f>
        <v>0</v>
      </c>
      <c r="AA22" s="1250"/>
      <c r="AB22" s="1250"/>
      <c r="AC22" s="1250"/>
      <c r="AD22" s="1250"/>
      <c r="AE22" s="1250"/>
      <c r="AF22" s="1250"/>
      <c r="AG22" s="1250"/>
      <c r="AH22" s="6"/>
      <c r="AI22" s="1277"/>
      <c r="AJ22" s="6" t="s">
        <v>37</v>
      </c>
      <c r="AZ22" s="1247">
        <f>DATOS!$AE$201</f>
        <v>0</v>
      </c>
      <c r="BA22" s="1247"/>
      <c r="BB22" s="1247"/>
      <c r="BC22" s="1247"/>
      <c r="BD22" s="1247"/>
      <c r="BE22" s="1247"/>
      <c r="BF22" s="1247"/>
      <c r="BG22" s="1247"/>
      <c r="BH22" s="229"/>
      <c r="BL22" s="1277"/>
      <c r="BM22" s="619"/>
    </row>
    <row r="23" spans="1:68">
      <c r="A23" s="619"/>
      <c r="B23" s="1267">
        <f>DATOS!$U$217</f>
        <v>0</v>
      </c>
      <c r="C23" s="1267"/>
      <c r="D23" s="1267"/>
      <c r="E23" s="6" t="s">
        <v>224</v>
      </c>
      <c r="F23" s="6"/>
      <c r="G23" s="6"/>
      <c r="H23" s="6"/>
      <c r="I23" s="14"/>
      <c r="J23" s="6"/>
      <c r="K23" s="6"/>
      <c r="L23" s="6"/>
      <c r="M23" s="6"/>
      <c r="N23" s="1250">
        <f>DATOS!$V$217</f>
        <v>0</v>
      </c>
      <c r="O23" s="1250"/>
      <c r="P23" s="1250"/>
      <c r="Q23" s="1250"/>
      <c r="R23" s="1250"/>
      <c r="S23" s="1250"/>
      <c r="T23" s="1250"/>
      <c r="U23" s="6"/>
      <c r="V23" s="6"/>
      <c r="W23" s="6"/>
      <c r="X23" s="6"/>
      <c r="Y23" s="6"/>
      <c r="Z23" s="1250">
        <f>DATOS!X217</f>
        <v>0</v>
      </c>
      <c r="AA23" s="1250"/>
      <c r="AB23" s="1250"/>
      <c r="AC23" s="1250"/>
      <c r="AD23" s="1250"/>
      <c r="AE23" s="1250"/>
      <c r="AF23" s="1250"/>
      <c r="AG23" s="1250"/>
      <c r="AH23" s="6"/>
      <c r="AI23" s="1277"/>
      <c r="BL23" s="1277"/>
      <c r="BM23" s="619"/>
    </row>
    <row r="24" spans="1:68" ht="15.75">
      <c r="A24" s="619"/>
      <c r="B24" s="1227" t="s">
        <v>37</v>
      </c>
      <c r="C24" s="1227"/>
      <c r="D24" s="1227"/>
      <c r="E24" s="1227"/>
      <c r="F24" s="1227"/>
      <c r="G24" s="1227"/>
      <c r="H24" s="1227"/>
      <c r="I24" s="122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247">
        <f>DATOS!X218</f>
        <v>0</v>
      </c>
      <c r="AA24" s="1247"/>
      <c r="AB24" s="1247"/>
      <c r="AC24" s="1247"/>
      <c r="AD24" s="1247"/>
      <c r="AE24" s="1247"/>
      <c r="AF24" s="1247"/>
      <c r="AG24" s="1247"/>
      <c r="AH24" s="6"/>
      <c r="AI24" s="1277"/>
      <c r="BL24" s="1277"/>
      <c r="BM24" s="619"/>
    </row>
    <row r="25" spans="1:68">
      <c r="A25" s="619"/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19"/>
    </row>
    <row r="26" spans="1:68">
      <c r="A26" s="619"/>
      <c r="B26" s="118" t="s">
        <v>100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25"/>
      <c r="AJ26" s="64" t="s">
        <v>139</v>
      </c>
      <c r="AK26" s="6"/>
      <c r="AL26" s="6"/>
      <c r="AM26" s="151"/>
      <c r="AN26" s="6"/>
      <c r="AO26" s="6"/>
      <c r="AP26" s="6"/>
      <c r="AQ26" s="6"/>
      <c r="AR26" s="151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L26" s="1256"/>
      <c r="BM26" s="619"/>
    </row>
    <row r="27" spans="1:68">
      <c r="A27" s="619"/>
      <c r="B27" s="6" t="s">
        <v>126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50">
        <f>DATOS!$X$222</f>
        <v>0</v>
      </c>
      <c r="AA27" s="1250"/>
      <c r="AB27" s="1250"/>
      <c r="AC27" s="1250"/>
      <c r="AD27" s="1250"/>
      <c r="AE27" s="1250"/>
      <c r="AF27" s="1250"/>
      <c r="AG27" s="1250"/>
      <c r="AH27" s="6"/>
      <c r="AI27" s="625"/>
      <c r="AJ27" s="117" t="s">
        <v>35</v>
      </c>
      <c r="AK27" s="6"/>
      <c r="AL27" s="6"/>
      <c r="AM27" s="15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266">
        <f>DATOS!$V$255</f>
        <v>0</v>
      </c>
      <c r="AZ27" s="1266"/>
      <c r="BA27" s="1266"/>
      <c r="BB27" s="1266"/>
      <c r="BC27" s="1266"/>
      <c r="BD27" s="1266"/>
      <c r="BE27" s="6"/>
      <c r="BF27" s="6"/>
      <c r="BG27" s="6"/>
      <c r="BH27" s="6"/>
      <c r="BI27" s="6"/>
      <c r="BJ27" s="6"/>
      <c r="BK27" s="6"/>
      <c r="BL27" s="1256"/>
      <c r="BM27" s="619"/>
      <c r="BN27" s="6"/>
      <c r="BO27" s="6"/>
    </row>
    <row r="28" spans="1:68" ht="15.75">
      <c r="A28" s="619"/>
      <c r="B28" s="6" t="s">
        <v>125</v>
      </c>
      <c r="C28" s="6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250">
        <f>IF(Z27=0,0,DATOS!$X$223)</f>
        <v>0</v>
      </c>
      <c r="AA28" s="1250"/>
      <c r="AB28" s="1250"/>
      <c r="AC28" s="1250"/>
      <c r="AD28" s="1250"/>
      <c r="AE28" s="1250"/>
      <c r="AF28" s="1250"/>
      <c r="AG28" s="1250"/>
      <c r="AH28" s="6"/>
      <c r="AI28" s="625"/>
      <c r="AJ28" s="6" t="s">
        <v>36</v>
      </c>
      <c r="AK28" s="6"/>
      <c r="AL28" s="6"/>
      <c r="AM28" s="15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1249">
        <f>DATOS!$V$256</f>
        <v>0</v>
      </c>
      <c r="AZ28" s="1249"/>
      <c r="BA28" s="1249"/>
      <c r="BB28" s="1249"/>
      <c r="BC28" s="1249"/>
      <c r="BD28" s="1249"/>
      <c r="BE28" s="192"/>
      <c r="BF28" s="1253">
        <f>DATOS!$X$256</f>
        <v>0</v>
      </c>
      <c r="BG28" s="1253"/>
      <c r="BH28" s="1253"/>
      <c r="BI28" s="1253"/>
      <c r="BJ28" s="1253"/>
      <c r="BK28" s="1253"/>
      <c r="BL28" s="1256"/>
      <c r="BM28" s="619"/>
    </row>
    <row r="29" spans="1:68" ht="15.75">
      <c r="A29" s="619"/>
      <c r="B29" s="6" t="s">
        <v>35</v>
      </c>
      <c r="C29" s="6"/>
      <c r="D29" s="6"/>
      <c r="E29" s="6"/>
      <c r="F29" s="5"/>
      <c r="G29" s="6"/>
      <c r="H29" s="6"/>
      <c r="I29" s="6"/>
      <c r="J29" s="6"/>
      <c r="K29" s="6"/>
      <c r="L29" s="6"/>
      <c r="M29" s="6"/>
      <c r="N29" s="1250">
        <f>DATOS!$L$99</f>
        <v>0</v>
      </c>
      <c r="O29" s="1250"/>
      <c r="P29" s="1250"/>
      <c r="Q29" s="1250"/>
      <c r="R29" s="1250"/>
      <c r="S29" s="1250"/>
      <c r="T29" s="1250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25"/>
      <c r="AJ29" s="6" t="s">
        <v>152</v>
      </c>
      <c r="AK29" s="6"/>
      <c r="AL29" s="6"/>
      <c r="AM29" s="151"/>
      <c r="AN29" s="6"/>
      <c r="AO29" s="6"/>
      <c r="AP29" s="6"/>
      <c r="AQ29" s="6"/>
      <c r="AR29" s="14" t="s">
        <v>56</v>
      </c>
      <c r="AS29" s="6"/>
      <c r="AT29" s="1248">
        <f>DATOS!$U$257</f>
        <v>0</v>
      </c>
      <c r="AU29" s="1248"/>
      <c r="AV29" s="1248"/>
      <c r="AW29" s="6"/>
      <c r="AX29" s="6"/>
      <c r="AY29" s="1249">
        <f>DATOS!$V$257</f>
        <v>0</v>
      </c>
      <c r="AZ29" s="1249"/>
      <c r="BA29" s="1249"/>
      <c r="BB29" s="1249"/>
      <c r="BC29" s="1249"/>
      <c r="BD29" s="1249"/>
      <c r="BE29" s="6"/>
      <c r="BF29" s="1253">
        <f>DATOS!$X$257</f>
        <v>0</v>
      </c>
      <c r="BG29" s="1253"/>
      <c r="BH29" s="1253"/>
      <c r="BI29" s="1253"/>
      <c r="BJ29" s="1253"/>
      <c r="BK29" s="1253"/>
      <c r="BL29" s="1256"/>
      <c r="BM29" s="619"/>
    </row>
    <row r="30" spans="1:68" ht="15.75">
      <c r="A30" s="619"/>
      <c r="B30" s="6" t="s">
        <v>43</v>
      </c>
      <c r="C30" s="121"/>
      <c r="D30" s="123"/>
      <c r="E30" s="6"/>
      <c r="F30" s="6"/>
      <c r="G30" s="6"/>
      <c r="H30" s="6"/>
      <c r="I30" s="6"/>
      <c r="J30" s="6"/>
      <c r="K30" s="6"/>
      <c r="L30" s="6"/>
      <c r="M30" s="6"/>
      <c r="N30" s="1250">
        <f>DATOS!$V$225</f>
        <v>0</v>
      </c>
      <c r="O30" s="1250"/>
      <c r="P30" s="1250"/>
      <c r="Q30" s="1250"/>
      <c r="R30" s="1250"/>
      <c r="S30" s="1250"/>
      <c r="T30" s="1250"/>
      <c r="U30" s="6"/>
      <c r="V30" s="6"/>
      <c r="W30" s="6"/>
      <c r="X30" s="6"/>
      <c r="Y30" s="6"/>
      <c r="Z30" s="1250">
        <f>DATOS!X225</f>
        <v>0</v>
      </c>
      <c r="AA30" s="1250"/>
      <c r="AB30" s="1250"/>
      <c r="AC30" s="1250"/>
      <c r="AD30" s="1250"/>
      <c r="AE30" s="1250"/>
      <c r="AF30" s="1250"/>
      <c r="AG30" s="1250"/>
      <c r="AH30" s="6"/>
      <c r="AI30" s="625"/>
      <c r="AJ30" s="6" t="s">
        <v>152</v>
      </c>
      <c r="AK30" s="6"/>
      <c r="AL30" s="6"/>
      <c r="AM30" s="151"/>
      <c r="AN30" s="6"/>
      <c r="AO30" s="6"/>
      <c r="AP30" s="6"/>
      <c r="AQ30" s="6"/>
      <c r="AR30" s="14" t="s">
        <v>56</v>
      </c>
      <c r="AS30" s="6"/>
      <c r="AT30" s="1248">
        <f>DATOS!$U$258</f>
        <v>0</v>
      </c>
      <c r="AU30" s="1248"/>
      <c r="AV30" s="1248"/>
      <c r="AW30" s="6"/>
      <c r="AX30" s="6"/>
      <c r="AY30" s="1249">
        <f>DATOS!$V$258</f>
        <v>0</v>
      </c>
      <c r="AZ30" s="1249"/>
      <c r="BA30" s="1249"/>
      <c r="BB30" s="1249"/>
      <c r="BC30" s="1249"/>
      <c r="BD30" s="1249"/>
      <c r="BE30" s="6"/>
      <c r="BF30" s="1253">
        <f>DATOS!$X$258</f>
        <v>0</v>
      </c>
      <c r="BG30" s="1253"/>
      <c r="BH30" s="1253"/>
      <c r="BI30" s="1253"/>
      <c r="BJ30" s="1253"/>
      <c r="BK30" s="1253"/>
      <c r="BL30" s="1256"/>
      <c r="BM30" s="619"/>
    </row>
    <row r="31" spans="1:68" ht="15.75">
      <c r="A31" s="619"/>
      <c r="B31" s="1252">
        <f>DATOS!$U$226</f>
        <v>0</v>
      </c>
      <c r="C31" s="1252"/>
      <c r="D31" s="1252"/>
      <c r="E31" s="6" t="s">
        <v>224</v>
      </c>
      <c r="F31" s="6"/>
      <c r="G31" s="6"/>
      <c r="H31" s="6"/>
      <c r="I31" s="6"/>
      <c r="J31" s="6"/>
      <c r="K31" s="6"/>
      <c r="L31" s="6"/>
      <c r="M31" s="6"/>
      <c r="N31" s="1250">
        <f>DATOS!$V$226</f>
        <v>0</v>
      </c>
      <c r="O31" s="1250"/>
      <c r="P31" s="1250"/>
      <c r="Q31" s="1250"/>
      <c r="R31" s="1250"/>
      <c r="S31" s="1250"/>
      <c r="T31" s="1250"/>
      <c r="U31" s="6"/>
      <c r="V31" s="6"/>
      <c r="W31" s="6"/>
      <c r="X31" s="6"/>
      <c r="Y31" s="6"/>
      <c r="Z31" s="1250">
        <f>DATOS!X226</f>
        <v>0</v>
      </c>
      <c r="AA31" s="1250"/>
      <c r="AB31" s="1250"/>
      <c r="AC31" s="1250"/>
      <c r="AD31" s="1250"/>
      <c r="AE31" s="1250"/>
      <c r="AF31" s="1250"/>
      <c r="AG31" s="1250"/>
      <c r="AH31" s="6"/>
      <c r="AI31" s="625"/>
      <c r="AJ31" s="6" t="s">
        <v>37</v>
      </c>
      <c r="AK31" s="6"/>
      <c r="AL31" s="6"/>
      <c r="AM31" s="151"/>
      <c r="AN31" s="6"/>
      <c r="AO31" s="6"/>
      <c r="AP31" s="6"/>
      <c r="AQ31" s="6"/>
      <c r="AR31" s="15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253">
        <f>DATOS!$X$259</f>
        <v>0</v>
      </c>
      <c r="BG31" s="1253"/>
      <c r="BH31" s="1253"/>
      <c r="BI31" s="1253"/>
      <c r="BJ31" s="1253"/>
      <c r="BK31" s="1253"/>
      <c r="BL31" s="1256"/>
      <c r="BM31" s="619"/>
    </row>
    <row r="32" spans="1:68" ht="15.75">
      <c r="A32" s="619"/>
      <c r="B32" s="6" t="s">
        <v>37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247">
        <f>DATOS!X227</f>
        <v>0</v>
      </c>
      <c r="AA32" s="1247"/>
      <c r="AB32" s="1247"/>
      <c r="AC32" s="1247"/>
      <c r="AD32" s="1247"/>
      <c r="AE32" s="1247"/>
      <c r="AF32" s="1247"/>
      <c r="AG32" s="1247"/>
      <c r="AH32" s="6"/>
      <c r="AI32" s="625"/>
      <c r="BL32" s="1256"/>
      <c r="BM32" s="619"/>
    </row>
    <row r="33" spans="1:99">
      <c r="A33" s="619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19"/>
    </row>
    <row r="34" spans="1:99">
      <c r="A34" s="619"/>
      <c r="B34" s="118" t="s">
        <v>260</v>
      </c>
      <c r="C34" s="6"/>
      <c r="D34" s="6"/>
      <c r="E34" s="6"/>
      <c r="F34" s="12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19"/>
      <c r="AJ34" s="64" t="s">
        <v>155</v>
      </c>
      <c r="AK34" s="6"/>
      <c r="AL34" s="6"/>
      <c r="AM34" s="151"/>
      <c r="AN34" s="6"/>
      <c r="AO34" s="6"/>
      <c r="AP34" s="6"/>
      <c r="AQ34" s="6"/>
      <c r="AR34" s="151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L34" s="1277"/>
      <c r="BM34" s="619"/>
    </row>
    <row r="35" spans="1:99">
      <c r="A35" s="619"/>
      <c r="B35" s="6"/>
      <c r="C35" s="6"/>
      <c r="D35" s="6"/>
      <c r="E35" s="6"/>
      <c r="F35" s="1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19"/>
      <c r="AJ35" s="6"/>
      <c r="AK35" s="6"/>
      <c r="AL35" s="6"/>
      <c r="AM35" s="151"/>
      <c r="AN35" s="6"/>
      <c r="AO35" s="6"/>
      <c r="AP35" s="6"/>
      <c r="AQ35" s="6"/>
      <c r="AR35" s="151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L35" s="1277"/>
      <c r="BM35" s="619"/>
    </row>
    <row r="36" spans="1:99" ht="15.75">
      <c r="A36" s="619"/>
      <c r="B36" s="6" t="s">
        <v>35</v>
      </c>
      <c r="C36" s="6"/>
      <c r="D36" s="6"/>
      <c r="E36" s="6"/>
      <c r="F36" s="124"/>
      <c r="G36" s="6"/>
      <c r="H36" s="6"/>
      <c r="I36" s="6"/>
      <c r="J36" s="6"/>
      <c r="K36" s="6"/>
      <c r="L36" s="6"/>
      <c r="M36" s="6"/>
      <c r="N36" s="1250">
        <f>DATOS!V231</f>
        <v>0</v>
      </c>
      <c r="O36" s="1250"/>
      <c r="P36" s="1250"/>
      <c r="Q36" s="1250"/>
      <c r="R36" s="1250"/>
      <c r="S36" s="1250"/>
      <c r="T36" s="1250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19"/>
      <c r="AJ36" s="6" t="s">
        <v>166</v>
      </c>
      <c r="AK36" s="6"/>
      <c r="AL36" s="6"/>
      <c r="AM36" s="6"/>
      <c r="AN36" s="6"/>
      <c r="AO36" s="6"/>
      <c r="AP36" s="1255">
        <f>DATOS!$J$130</f>
        <v>0</v>
      </c>
      <c r="AQ36" s="1255"/>
      <c r="AR36" s="151"/>
      <c r="AS36" s="6" t="s">
        <v>162</v>
      </c>
      <c r="AT36" s="6"/>
      <c r="AU36" s="6"/>
      <c r="AV36" s="6"/>
      <c r="AW36" s="6"/>
      <c r="AX36" s="6"/>
      <c r="AY36" s="6"/>
      <c r="AZ36" s="1253">
        <f>DATOS!$K$130</f>
        <v>0</v>
      </c>
      <c r="BA36" s="1253"/>
      <c r="BB36" s="1253"/>
      <c r="BC36" s="1253"/>
      <c r="BD36" s="1253"/>
      <c r="BE36" s="1253"/>
      <c r="BF36" s="1253"/>
      <c r="BG36" s="1253"/>
      <c r="BL36" s="1277"/>
      <c r="BM36" s="619"/>
    </row>
    <row r="37" spans="1:99" ht="15.75">
      <c r="A37" s="619"/>
      <c r="B37" s="6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50">
        <f>DATOS!V232</f>
        <v>0</v>
      </c>
      <c r="O37" s="1250"/>
      <c r="P37" s="1250"/>
      <c r="Q37" s="1250"/>
      <c r="R37" s="1250"/>
      <c r="S37" s="1250"/>
      <c r="T37" s="1250"/>
      <c r="U37" s="6"/>
      <c r="V37" s="6"/>
      <c r="W37" s="6"/>
      <c r="X37" s="6"/>
      <c r="Y37" s="6"/>
      <c r="Z37" s="1250">
        <f>DATOS!X232</f>
        <v>0</v>
      </c>
      <c r="AA37" s="1250"/>
      <c r="AB37" s="1250"/>
      <c r="AC37" s="1250"/>
      <c r="AD37" s="1250"/>
      <c r="AE37" s="1250"/>
      <c r="AF37" s="1250"/>
      <c r="AG37" s="1250"/>
      <c r="AH37" s="6"/>
      <c r="AI37" s="619"/>
      <c r="AJ37" s="6" t="s">
        <v>165</v>
      </c>
      <c r="AK37" s="6"/>
      <c r="AL37" s="6"/>
      <c r="AM37" s="6"/>
      <c r="AN37" s="6"/>
      <c r="AO37" s="6"/>
      <c r="AP37" s="1255">
        <f>DATOS!J131</f>
        <v>0</v>
      </c>
      <c r="AQ37" s="1255"/>
      <c r="AR37" s="151"/>
      <c r="AS37" s="6" t="s">
        <v>162</v>
      </c>
      <c r="AT37" s="6"/>
      <c r="AU37" s="6"/>
      <c r="AV37" s="6"/>
      <c r="AW37" s="6"/>
      <c r="AX37" s="6"/>
      <c r="AY37" s="6"/>
      <c r="AZ37" s="1253">
        <f>DATOS!K131</f>
        <v>0</v>
      </c>
      <c r="BA37" s="1253"/>
      <c r="BB37" s="1253"/>
      <c r="BC37" s="1253"/>
      <c r="BD37" s="1253"/>
      <c r="BE37" s="1253"/>
      <c r="BF37" s="1253"/>
      <c r="BG37" s="1253"/>
      <c r="BL37" s="1277"/>
      <c r="BM37" s="619"/>
    </row>
    <row r="38" spans="1:99" ht="15.75">
      <c r="A38" s="619"/>
      <c r="B38" s="1252">
        <f>DATOS!$U$233</f>
        <v>0</v>
      </c>
      <c r="C38" s="1252"/>
      <c r="D38" s="1252"/>
      <c r="E38" s="6" t="s">
        <v>224</v>
      </c>
      <c r="F38" s="6"/>
      <c r="G38" s="6"/>
      <c r="H38" s="6"/>
      <c r="I38" s="6"/>
      <c r="J38" s="6"/>
      <c r="K38" s="6"/>
      <c r="L38" s="6"/>
      <c r="M38" s="6"/>
      <c r="N38" s="1250">
        <f>DATOS!$V$233</f>
        <v>0</v>
      </c>
      <c r="O38" s="1250"/>
      <c r="P38" s="1250"/>
      <c r="Q38" s="1250"/>
      <c r="R38" s="1250"/>
      <c r="S38" s="1250"/>
      <c r="T38" s="1250"/>
      <c r="U38" s="6"/>
      <c r="V38" s="6"/>
      <c r="W38" s="6"/>
      <c r="X38" s="6"/>
      <c r="Y38" s="6"/>
      <c r="Z38" s="1250">
        <f>DATOS!$X$233</f>
        <v>0</v>
      </c>
      <c r="AA38" s="1250"/>
      <c r="AB38" s="1250"/>
      <c r="AC38" s="1250"/>
      <c r="AD38" s="1250"/>
      <c r="AE38" s="1250"/>
      <c r="AF38" s="1250"/>
      <c r="AG38" s="1250"/>
      <c r="AH38" s="6"/>
      <c r="AI38" s="619"/>
      <c r="AJ38" s="6" t="s">
        <v>164</v>
      </c>
      <c r="AK38" s="6"/>
      <c r="AL38" s="6"/>
      <c r="AM38" s="6"/>
      <c r="AN38" s="6"/>
      <c r="AO38" s="6"/>
      <c r="AP38" s="1255">
        <f>DATOS!$J$132</f>
        <v>0</v>
      </c>
      <c r="AQ38" s="1255"/>
      <c r="AR38" s="151"/>
      <c r="AS38" s="6" t="s">
        <v>162</v>
      </c>
      <c r="AT38" s="6"/>
      <c r="AU38" s="6"/>
      <c r="AV38" s="6"/>
      <c r="AW38" s="6"/>
      <c r="AX38" s="6"/>
      <c r="AY38" s="6"/>
      <c r="AZ38" s="1253">
        <f>DATOS!$K$132</f>
        <v>0</v>
      </c>
      <c r="BA38" s="1253"/>
      <c r="BB38" s="1253"/>
      <c r="BC38" s="1253"/>
      <c r="BD38" s="1253"/>
      <c r="BE38" s="1253"/>
      <c r="BF38" s="1253"/>
      <c r="BG38" s="1253"/>
      <c r="BL38" s="1277"/>
      <c r="BM38" s="619"/>
    </row>
    <row r="39" spans="1:99" ht="15.75">
      <c r="A39" s="619"/>
      <c r="B39" s="6" t="s">
        <v>37</v>
      </c>
      <c r="C39" s="6"/>
      <c r="D39" s="6"/>
      <c r="E39" s="1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47">
        <f>DATOS!X235</f>
        <v>0</v>
      </c>
      <c r="AA39" s="1247"/>
      <c r="AB39" s="1247"/>
      <c r="AC39" s="1247"/>
      <c r="AD39" s="1247"/>
      <c r="AE39" s="1247"/>
      <c r="AF39" s="1247"/>
      <c r="AG39" s="1247"/>
      <c r="AH39" s="6"/>
      <c r="AI39" s="619"/>
      <c r="AJ39" s="6" t="s">
        <v>186</v>
      </c>
      <c r="AK39" s="6"/>
      <c r="AL39" s="6"/>
      <c r="AM39" s="6"/>
      <c r="AN39" s="6"/>
      <c r="AO39" s="6"/>
      <c r="AP39" s="1255">
        <f>DATOS!$J$133</f>
        <v>0</v>
      </c>
      <c r="AQ39" s="1255"/>
      <c r="AR39" s="151"/>
      <c r="AS39" s="6" t="s">
        <v>162</v>
      </c>
      <c r="AT39" s="6"/>
      <c r="AU39" s="6"/>
      <c r="AV39" s="6"/>
      <c r="AW39" s="6"/>
      <c r="AX39" s="6"/>
      <c r="AY39" s="6"/>
      <c r="AZ39" s="1253">
        <f>DATOS!$K$133</f>
        <v>0</v>
      </c>
      <c r="BA39" s="1253"/>
      <c r="BB39" s="1253"/>
      <c r="BC39" s="1253"/>
      <c r="BD39" s="1253"/>
      <c r="BE39" s="1253"/>
      <c r="BF39" s="1253"/>
      <c r="BG39" s="1253"/>
      <c r="BL39" s="1277"/>
      <c r="BM39" s="619"/>
    </row>
    <row r="40" spans="1:99" ht="16.5" thickBot="1">
      <c r="A40" s="619"/>
      <c r="B40" s="6" t="s">
        <v>262</v>
      </c>
      <c r="C40" s="6"/>
      <c r="D40" s="6"/>
      <c r="E40" s="1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247">
        <f>DATOS!$AB$297</f>
        <v>0</v>
      </c>
      <c r="AA40" s="1247"/>
      <c r="AB40" s="1247"/>
      <c r="AC40" s="1247"/>
      <c r="AD40" s="1247"/>
      <c r="AE40" s="1247"/>
      <c r="AF40" s="1247"/>
      <c r="AG40" s="1247"/>
      <c r="AH40" s="6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</row>
    <row r="41" spans="1:99" ht="15.75" customHeight="1">
      <c r="A41" s="619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18"/>
      <c r="AJ41" s="1319" t="s">
        <v>640</v>
      </c>
      <c r="AK41" s="1320"/>
      <c r="AL41" s="1320"/>
      <c r="AM41" s="1320"/>
      <c r="AN41" s="1320"/>
      <c r="AO41" s="1320"/>
      <c r="AP41" s="1320"/>
      <c r="AQ41" s="1320"/>
      <c r="AR41" s="1320"/>
      <c r="AS41" s="1320"/>
      <c r="AT41" s="1320"/>
      <c r="AU41" s="1320"/>
      <c r="AV41" s="1320"/>
      <c r="AW41" s="1320"/>
      <c r="AX41" s="1320"/>
      <c r="AY41" s="1320"/>
      <c r="AZ41" s="1320"/>
      <c r="BA41" s="1320"/>
      <c r="BB41" s="1320"/>
      <c r="BC41" s="1320"/>
      <c r="BD41" s="1320"/>
      <c r="BE41" s="1320"/>
      <c r="BF41" s="1320"/>
      <c r="BG41" s="1320"/>
      <c r="BH41" s="1320"/>
      <c r="BI41" s="1320"/>
      <c r="BJ41" s="1320"/>
      <c r="BK41" s="1321"/>
      <c r="BL41" s="1322"/>
      <c r="BM41" s="619"/>
      <c r="BO41" s="99"/>
    </row>
    <row r="42" spans="1:99" ht="15">
      <c r="A42" s="619"/>
      <c r="B42" s="1325" t="s">
        <v>676</v>
      </c>
      <c r="C42" s="1325"/>
      <c r="D42" s="1325"/>
      <c r="E42" s="1325"/>
      <c r="F42" s="1325"/>
      <c r="G42" s="1325"/>
      <c r="H42" s="1325"/>
      <c r="I42" s="1325"/>
      <c r="J42" s="1325"/>
      <c r="K42" s="1325"/>
      <c r="L42" s="1325"/>
      <c r="M42" s="1325"/>
      <c r="N42" s="1250">
        <f>DATOS!$V$237</f>
        <v>0</v>
      </c>
      <c r="O42" s="1250"/>
      <c r="P42" s="1250"/>
      <c r="Q42" s="1250"/>
      <c r="R42" s="1250"/>
      <c r="S42" s="1250"/>
      <c r="T42" s="1250"/>
      <c r="AI42" s="617"/>
      <c r="AJ42" s="1305" t="str">
        <f>IF(DATOS!B124="si","CHARLAS DE SEG. EN OBRA INDUSTRIA Y/O DEPOSITO"," ")</f>
        <v xml:space="preserve"> </v>
      </c>
      <c r="AK42" s="1306"/>
      <c r="AL42" s="1306"/>
      <c r="AM42" s="1306"/>
      <c r="AN42" s="1306"/>
      <c r="AO42" s="1306"/>
      <c r="AP42" s="1306"/>
      <c r="AQ42" s="1306"/>
      <c r="AR42" s="1306"/>
      <c r="AS42" s="1306"/>
      <c r="AT42" s="1306"/>
      <c r="AU42" s="1306"/>
      <c r="AV42" s="1306"/>
      <c r="AW42" s="1306"/>
      <c r="AX42" s="1306"/>
      <c r="AY42" s="1306"/>
      <c r="AZ42" s="1306"/>
      <c r="BA42" s="1306"/>
      <c r="BB42" s="1306"/>
      <c r="BC42" s="1306"/>
      <c r="BD42" s="1306"/>
      <c r="BE42" s="1306"/>
      <c r="BF42" s="1306"/>
      <c r="BG42" s="1264">
        <f>DATOS!F124</f>
        <v>0</v>
      </c>
      <c r="BH42" s="1264"/>
      <c r="BI42" s="1264"/>
      <c r="BJ42" s="1264"/>
      <c r="BK42" s="1265"/>
      <c r="BL42" s="1322"/>
      <c r="BM42" s="619"/>
      <c r="CU42" s="6"/>
    </row>
    <row r="43" spans="1:99">
      <c r="A43" s="619"/>
      <c r="B43" s="79" t="s">
        <v>36</v>
      </c>
      <c r="C43" s="8"/>
      <c r="D43" s="8"/>
      <c r="E43" s="8"/>
      <c r="F43" s="8"/>
      <c r="G43" s="87"/>
      <c r="N43" s="1250">
        <f>DATOS!$V$238</f>
        <v>0</v>
      </c>
      <c r="O43" s="1250"/>
      <c r="P43" s="1250"/>
      <c r="Q43" s="1250"/>
      <c r="R43" s="1250"/>
      <c r="S43" s="1250"/>
      <c r="T43" s="1250"/>
      <c r="Y43" s="83"/>
      <c r="Z43" s="1250">
        <f>DATOS!$X$238</f>
        <v>0</v>
      </c>
      <c r="AA43" s="1250"/>
      <c r="AB43" s="1250"/>
      <c r="AC43" s="1250"/>
      <c r="AD43" s="1250"/>
      <c r="AE43" s="1250"/>
      <c r="AF43" s="1250"/>
      <c r="AG43" s="1250"/>
      <c r="AI43" s="617"/>
      <c r="AJ43" s="1305" t="str">
        <f>IF(DATOS!B125="si","INSPECCION OCULAR PARA ALGUNA ART (MAX 1 HORA)"," ")</f>
        <v xml:space="preserve"> </v>
      </c>
      <c r="AK43" s="1306"/>
      <c r="AL43" s="1306"/>
      <c r="AM43" s="1306"/>
      <c r="AN43" s="1306"/>
      <c r="AO43" s="1306"/>
      <c r="AP43" s="1306"/>
      <c r="AQ43" s="1306"/>
      <c r="AR43" s="1306"/>
      <c r="AS43" s="1306"/>
      <c r="AT43" s="1306"/>
      <c r="AU43" s="1306"/>
      <c r="AV43" s="1306"/>
      <c r="AW43" s="1306"/>
      <c r="AX43" s="1306"/>
      <c r="AY43" s="1306"/>
      <c r="AZ43" s="1306"/>
      <c r="BA43" s="1306"/>
      <c r="BB43" s="1306"/>
      <c r="BC43" s="1306"/>
      <c r="BD43" s="1306"/>
      <c r="BE43" s="1306"/>
      <c r="BF43" s="1306"/>
      <c r="BG43" s="1264">
        <f>DATOS!$F$125</f>
        <v>0</v>
      </c>
      <c r="BH43" s="1264"/>
      <c r="BI43" s="1264"/>
      <c r="BJ43" s="1264"/>
      <c r="BK43" s="1265"/>
      <c r="BL43" s="1322"/>
      <c r="BM43" s="619"/>
      <c r="CU43" s="6"/>
    </row>
    <row r="44" spans="1:99">
      <c r="A44" s="619"/>
      <c r="B44" s="8" t="s">
        <v>97</v>
      </c>
      <c r="C44" s="8"/>
      <c r="D44" s="8"/>
      <c r="H44" s="14" t="s">
        <v>56</v>
      </c>
      <c r="I44" s="1316">
        <f>DATOS!$U$239</f>
        <v>0</v>
      </c>
      <c r="J44" s="1316"/>
      <c r="K44" s="1316"/>
      <c r="N44" s="1250">
        <f>DATOS!$V$239</f>
        <v>0</v>
      </c>
      <c r="O44" s="1250"/>
      <c r="P44" s="1250"/>
      <c r="Q44" s="1250"/>
      <c r="R44" s="1250"/>
      <c r="S44" s="1250"/>
      <c r="T44" s="1250"/>
      <c r="Z44" s="1250">
        <f>DATOS!$X$239</f>
        <v>0</v>
      </c>
      <c r="AA44" s="1250"/>
      <c r="AB44" s="1250"/>
      <c r="AC44" s="1250"/>
      <c r="AD44" s="1250"/>
      <c r="AE44" s="1250"/>
      <c r="AF44" s="1250"/>
      <c r="AG44" s="1250"/>
      <c r="AI44" s="617"/>
      <c r="AJ44" s="1305" t="str">
        <f>IF(DATOS!B126="si","PLAN DE EVACUACION"," ")</f>
        <v xml:space="preserve"> </v>
      </c>
      <c r="AK44" s="1306"/>
      <c r="AL44" s="1306"/>
      <c r="AM44" s="1306"/>
      <c r="AN44" s="1306"/>
      <c r="AO44" s="1306"/>
      <c r="AP44" s="1306"/>
      <c r="AQ44" s="1306"/>
      <c r="AR44" s="1306"/>
      <c r="AS44" s="1306"/>
      <c r="AT44" s="1306"/>
      <c r="AU44" s="1306"/>
      <c r="AV44" s="1306"/>
      <c r="AW44" s="1306"/>
      <c r="AX44" s="1306"/>
      <c r="AY44" s="1306"/>
      <c r="AZ44" s="1306"/>
      <c r="BA44" s="1306"/>
      <c r="BB44" s="1306"/>
      <c r="BC44" s="1306"/>
      <c r="BD44" s="1306"/>
      <c r="BE44" s="1306"/>
      <c r="BF44" s="1306"/>
      <c r="BG44" s="1264">
        <f>DATOS!$F$126</f>
        <v>0</v>
      </c>
      <c r="BH44" s="1264"/>
      <c r="BI44" s="1264"/>
      <c r="BJ44" s="1264"/>
      <c r="BK44" s="1265"/>
      <c r="BL44" s="1322"/>
      <c r="BM44" s="619"/>
      <c r="CU44" s="6"/>
    </row>
    <row r="45" spans="1:99" ht="15.75">
      <c r="A45" s="619"/>
      <c r="B45" s="6" t="s">
        <v>37</v>
      </c>
      <c r="C45" s="8"/>
      <c r="D45" s="8"/>
      <c r="E45" s="8"/>
      <c r="F45" s="8"/>
      <c r="G45" s="24"/>
      <c r="H45" s="15"/>
      <c r="I45" s="164"/>
      <c r="Z45" s="1247">
        <f>DATOS!$X$240</f>
        <v>0</v>
      </c>
      <c r="AA45" s="1247"/>
      <c r="AB45" s="1247"/>
      <c r="AC45" s="1247"/>
      <c r="AD45" s="1247"/>
      <c r="AE45" s="1247"/>
      <c r="AF45" s="1247"/>
      <c r="AG45" s="1247"/>
      <c r="AI45" s="617"/>
      <c r="AJ45" s="1305" t="str">
        <f>IF(DATOS!B127="si","INFORME IGNIFUGO"," ")</f>
        <v xml:space="preserve"> </v>
      </c>
      <c r="AK45" s="1306"/>
      <c r="AL45" s="1306"/>
      <c r="AM45" s="1306"/>
      <c r="AN45" s="1306"/>
      <c r="AO45" s="1306"/>
      <c r="AP45" s="1306"/>
      <c r="AQ45" s="1306"/>
      <c r="AR45" s="1306"/>
      <c r="AS45" s="1306"/>
      <c r="AT45" s="1306"/>
      <c r="AU45" s="1306"/>
      <c r="AV45" s="1306"/>
      <c r="AW45" s="1306"/>
      <c r="AX45" s="1306"/>
      <c r="AY45" s="1306"/>
      <c r="AZ45" s="1306"/>
      <c r="BA45" s="1306"/>
      <c r="BB45" s="1306"/>
      <c r="BC45" s="1306"/>
      <c r="BD45" s="1306"/>
      <c r="BE45" s="1306"/>
      <c r="BF45" s="1306"/>
      <c r="BG45" s="1264">
        <f>DATOS!$F$127</f>
        <v>0</v>
      </c>
      <c r="BH45" s="1264"/>
      <c r="BI45" s="1264"/>
      <c r="BJ45" s="1264"/>
      <c r="BK45" s="1265"/>
      <c r="BL45" s="1322"/>
      <c r="BM45" s="619"/>
      <c r="CU45" s="6"/>
    </row>
    <row r="46" spans="1:99" ht="15.75">
      <c r="A46" s="619"/>
      <c r="B46" s="6" t="s">
        <v>262</v>
      </c>
      <c r="C46" s="8"/>
      <c r="D46" s="8"/>
      <c r="E46" s="8"/>
      <c r="F46" s="8"/>
      <c r="G46" s="13"/>
      <c r="H46" s="15"/>
      <c r="I46" s="870"/>
      <c r="J46" s="499"/>
      <c r="N46" s="265"/>
      <c r="O46" s="265"/>
      <c r="P46" s="265"/>
      <c r="Q46" s="265"/>
      <c r="R46" s="265"/>
      <c r="S46" s="265"/>
      <c r="T46" s="265"/>
      <c r="Z46" s="1247">
        <f>DATOS!$X$241</f>
        <v>0</v>
      </c>
      <c r="AA46" s="1247"/>
      <c r="AB46" s="1247"/>
      <c r="AC46" s="1247"/>
      <c r="AD46" s="1247"/>
      <c r="AE46" s="1247"/>
      <c r="AF46" s="1247"/>
      <c r="AG46" s="1247"/>
      <c r="AI46" s="617"/>
      <c r="AJ46" s="1305" t="str">
        <f>IF(DATOS!B128="si","INFORME DE ILUMINACION"," ")</f>
        <v xml:space="preserve"> </v>
      </c>
      <c r="AK46" s="1306"/>
      <c r="AL46" s="1306"/>
      <c r="AM46" s="1306"/>
      <c r="AN46" s="1306"/>
      <c r="AO46" s="1306"/>
      <c r="AP46" s="1306"/>
      <c r="AQ46" s="1306"/>
      <c r="AR46" s="1306"/>
      <c r="AS46" s="1306"/>
      <c r="AT46" s="1306"/>
      <c r="AU46" s="1306"/>
      <c r="AV46" s="1306"/>
      <c r="AW46" s="1306"/>
      <c r="AX46" s="1306"/>
      <c r="AY46" s="1306"/>
      <c r="AZ46" s="1306"/>
      <c r="BA46" s="1306"/>
      <c r="BB46" s="1306"/>
      <c r="BC46" s="1306"/>
      <c r="BD46" s="1306"/>
      <c r="BE46" s="1306"/>
      <c r="BF46" s="1306"/>
      <c r="BG46" s="1264">
        <f>DATOS!$F$128</f>
        <v>0</v>
      </c>
      <c r="BH46" s="1264"/>
      <c r="BI46" s="1264"/>
      <c r="BJ46" s="1264"/>
      <c r="BK46" s="1265"/>
      <c r="BL46" s="1322"/>
      <c r="BM46" s="619"/>
      <c r="CU46" s="6"/>
    </row>
    <row r="47" spans="1:99">
      <c r="A47" s="619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17"/>
      <c r="AJ47" s="1305" t="str">
        <f>IF(DATOS!B129="si","INFORMES DE RUIDOS"," ")</f>
        <v xml:space="preserve"> </v>
      </c>
      <c r="AK47" s="1306"/>
      <c r="AL47" s="1306"/>
      <c r="AM47" s="1306"/>
      <c r="AN47" s="1306"/>
      <c r="AO47" s="1306"/>
      <c r="AP47" s="1306"/>
      <c r="AQ47" s="1306"/>
      <c r="AR47" s="1306"/>
      <c r="AS47" s="1306"/>
      <c r="AT47" s="1306"/>
      <c r="AU47" s="1306"/>
      <c r="AV47" s="1306"/>
      <c r="AW47" s="1306"/>
      <c r="AX47" s="1306"/>
      <c r="AY47" s="1306"/>
      <c r="AZ47" s="1306"/>
      <c r="BA47" s="1306"/>
      <c r="BB47" s="1306"/>
      <c r="BC47" s="1306"/>
      <c r="BD47" s="1306"/>
      <c r="BE47" s="1306"/>
      <c r="BF47" s="1306"/>
      <c r="BG47" s="1264">
        <f>DATOS!$F$129</f>
        <v>0</v>
      </c>
      <c r="BH47" s="1264"/>
      <c r="BI47" s="1264"/>
      <c r="BJ47" s="1264"/>
      <c r="BK47" s="1265"/>
      <c r="BL47" s="1322"/>
      <c r="BM47" s="619"/>
      <c r="CU47" s="6"/>
    </row>
    <row r="48" spans="1:99" ht="15.75" customHeight="1">
      <c r="A48" s="619"/>
      <c r="B48" s="5" t="s">
        <v>261</v>
      </c>
      <c r="C48" s="6"/>
      <c r="D48" s="6"/>
      <c r="E48" s="120"/>
      <c r="F48" s="124"/>
      <c r="G48" s="117"/>
      <c r="H48" s="117"/>
      <c r="I48" s="117"/>
      <c r="J48" s="117"/>
      <c r="K48" s="125"/>
      <c r="L48" s="125"/>
      <c r="M48" s="125"/>
      <c r="N48" s="125"/>
      <c r="O48" s="125"/>
      <c r="P48" s="117"/>
      <c r="Q48" s="117"/>
      <c r="R48" s="117"/>
      <c r="S48" s="117"/>
      <c r="T48" s="117"/>
      <c r="U48" s="117"/>
      <c r="V48" s="11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617"/>
      <c r="AJ48" s="1305" t="str">
        <f>IF(DATOS!B130="si","INFORME DE CARGA TERMICA"," ")</f>
        <v xml:space="preserve"> </v>
      </c>
      <c r="AK48" s="1306"/>
      <c r="AL48" s="1306"/>
      <c r="AM48" s="1306"/>
      <c r="AN48" s="1306"/>
      <c r="AO48" s="1306"/>
      <c r="AP48" s="1306"/>
      <c r="AQ48" s="1306"/>
      <c r="AR48" s="1306"/>
      <c r="AS48" s="1306"/>
      <c r="AT48" s="1306"/>
      <c r="AU48" s="1306"/>
      <c r="AV48" s="1306"/>
      <c r="AW48" s="1306"/>
      <c r="AX48" s="1306"/>
      <c r="AY48" s="1306"/>
      <c r="AZ48" s="1306"/>
      <c r="BA48" s="1306"/>
      <c r="BB48" s="1306"/>
      <c r="BC48" s="1306"/>
      <c r="BD48" s="1306"/>
      <c r="BE48" s="1306"/>
      <c r="BF48" s="1306"/>
      <c r="BG48" s="1264">
        <f>DATOS!$F$130</f>
        <v>0</v>
      </c>
      <c r="BH48" s="1264"/>
      <c r="BI48" s="1264"/>
      <c r="BJ48" s="1264"/>
      <c r="BK48" s="1265"/>
      <c r="BL48" s="1322"/>
      <c r="BM48" s="619"/>
      <c r="CU48" s="6"/>
    </row>
    <row r="49" spans="1:99" ht="16.5" customHeight="1">
      <c r="A49" s="619"/>
      <c r="B49" s="5"/>
      <c r="C49" s="6"/>
      <c r="D49" s="6"/>
      <c r="E49" s="120"/>
      <c r="F49" s="124"/>
      <c r="G49" s="117"/>
      <c r="H49" s="117"/>
      <c r="I49" s="117"/>
      <c r="J49" s="117"/>
      <c r="K49" s="125"/>
      <c r="L49" s="125"/>
      <c r="M49" s="125"/>
      <c r="N49" s="125"/>
      <c r="O49" s="125"/>
      <c r="P49" s="117"/>
      <c r="Q49" s="117"/>
      <c r="R49" s="117"/>
      <c r="S49" s="117"/>
      <c r="T49" s="117"/>
      <c r="U49" s="117"/>
      <c r="V49" s="117"/>
      <c r="W49" s="1235" t="s">
        <v>263</v>
      </c>
      <c r="X49" s="1235"/>
      <c r="Y49" s="1235"/>
      <c r="Z49" s="1235"/>
      <c r="AA49" s="1235"/>
      <c r="AB49" s="1235"/>
      <c r="AC49" s="1235"/>
      <c r="AD49" s="1263">
        <f>DATOS!$L$146</f>
        <v>0</v>
      </c>
      <c r="AE49" s="1263"/>
      <c r="AF49" s="1263"/>
      <c r="AG49" s="6"/>
      <c r="AI49" s="617"/>
      <c r="AJ49" s="1314" t="str">
        <f>IF(DATOS!B131="si","LEGAJO TECNICO INDUSTRIAS CAT. 1"," ")</f>
        <v xml:space="preserve"> </v>
      </c>
      <c r="AK49" s="1315"/>
      <c r="AL49" s="1315"/>
      <c r="AM49" s="1315"/>
      <c r="AN49" s="1315"/>
      <c r="AO49" s="1315"/>
      <c r="AP49" s="1315"/>
      <c r="AQ49" s="1315"/>
      <c r="AR49" s="1315"/>
      <c r="AS49" s="1315"/>
      <c r="AT49" s="1315"/>
      <c r="AU49" s="1315"/>
      <c r="AV49" s="1315"/>
      <c r="AW49" s="1315"/>
      <c r="AX49" s="1315"/>
      <c r="AY49" s="1315"/>
      <c r="AZ49" s="1315"/>
      <c r="BA49" s="1315"/>
      <c r="BB49" s="1315"/>
      <c r="BC49" s="1315"/>
      <c r="BD49" s="1315"/>
      <c r="BE49" s="1315"/>
      <c r="BF49" s="1315"/>
      <c r="BG49" s="1323">
        <f>DATOS!$F$131</f>
        <v>0</v>
      </c>
      <c r="BH49" s="1323"/>
      <c r="BI49" s="1323"/>
      <c r="BJ49" s="1323"/>
      <c r="BK49" s="1324"/>
      <c r="BL49" s="1322"/>
      <c r="BM49" s="619"/>
      <c r="BO49" s="638"/>
      <c r="BP49" s="638"/>
      <c r="BQ49" s="638"/>
      <c r="BR49" s="638"/>
      <c r="BS49" s="638"/>
      <c r="BT49" s="638"/>
      <c r="BU49" s="638"/>
      <c r="BV49" s="638"/>
      <c r="BW49" s="638"/>
      <c r="BX49" s="638"/>
      <c r="BY49" s="638"/>
      <c r="BZ49" s="638"/>
      <c r="CA49" s="638"/>
      <c r="CB49" s="638"/>
      <c r="CC49" s="638"/>
      <c r="CD49" s="638"/>
      <c r="CE49" s="638"/>
      <c r="CF49" s="638"/>
      <c r="CG49" s="638"/>
      <c r="CH49" s="638"/>
      <c r="CI49" s="638"/>
      <c r="CJ49" s="638"/>
      <c r="CK49" s="638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</row>
    <row r="50" spans="1:99">
      <c r="A50" s="619"/>
      <c r="B50" s="6" t="str">
        <f>DATOS!Q245</f>
        <v>TOTAL (V.I.)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50">
        <f>DATOS!V245</f>
        <v>0</v>
      </c>
      <c r="O50" s="1250"/>
      <c r="P50" s="1250"/>
      <c r="Q50" s="1250"/>
      <c r="R50" s="1250"/>
      <c r="S50" s="1250"/>
      <c r="T50" s="1250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69"/>
      <c r="AI50" s="617"/>
      <c r="AJ50" s="1305" t="str">
        <f>IF(DATOS!B132="si","DECLARACION JURADA RESIDUOS ESPECIALES CAT. 1 y 2"," ")</f>
        <v xml:space="preserve"> </v>
      </c>
      <c r="AK50" s="1306"/>
      <c r="AL50" s="1306"/>
      <c r="AM50" s="1306"/>
      <c r="AN50" s="1306"/>
      <c r="AO50" s="1306"/>
      <c r="AP50" s="1306"/>
      <c r="AQ50" s="1306"/>
      <c r="AR50" s="1306"/>
      <c r="AS50" s="1306"/>
      <c r="AT50" s="1306"/>
      <c r="AU50" s="1306"/>
      <c r="AV50" s="1306"/>
      <c r="AW50" s="1306"/>
      <c r="AX50" s="1306"/>
      <c r="AY50" s="1306"/>
      <c r="AZ50" s="1306"/>
      <c r="BA50" s="1306"/>
      <c r="BB50" s="1306"/>
      <c r="BC50" s="1306"/>
      <c r="BD50" s="1306"/>
      <c r="BE50" s="1306"/>
      <c r="BF50" s="1306"/>
      <c r="BG50" s="1264">
        <f>DATOS!$F$132</f>
        <v>0</v>
      </c>
      <c r="BH50" s="1264"/>
      <c r="BI50" s="1264"/>
      <c r="BJ50" s="1264"/>
      <c r="BK50" s="1265"/>
      <c r="BL50" s="1322"/>
      <c r="BM50" s="619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</row>
    <row r="51" spans="1:99">
      <c r="A51" s="619"/>
      <c r="B51" s="6" t="str">
        <f>DATOS!Q246</f>
        <v>Hasta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50">
        <f>DATOS!V246</f>
        <v>0</v>
      </c>
      <c r="O51" s="1250"/>
      <c r="P51" s="1250"/>
      <c r="Q51" s="1250"/>
      <c r="R51" s="1250"/>
      <c r="S51" s="1250"/>
      <c r="T51" s="1250"/>
      <c r="U51" s="6"/>
      <c r="V51" s="6"/>
      <c r="W51" s="6"/>
      <c r="X51" s="6"/>
      <c r="Y51" s="6"/>
      <c r="Z51" s="1250">
        <f>DATOS!X246</f>
        <v>0</v>
      </c>
      <c r="AA51" s="1250"/>
      <c r="AB51" s="1250"/>
      <c r="AC51" s="1250"/>
      <c r="AD51" s="1250"/>
      <c r="AE51" s="1250"/>
      <c r="AF51" s="1250"/>
      <c r="AG51" s="232"/>
      <c r="AH51" s="99"/>
      <c r="AI51" s="643"/>
      <c r="AJ51" s="1305" t="str">
        <f>IF(DATOS!B133="si","INFORME TECNICO DE CARGA DE FUEGO"," ")</f>
        <v xml:space="preserve"> </v>
      </c>
      <c r="AK51" s="1306"/>
      <c r="AL51" s="1306"/>
      <c r="AM51" s="1306"/>
      <c r="AN51" s="1306"/>
      <c r="AO51" s="1306"/>
      <c r="AP51" s="1306"/>
      <c r="AQ51" s="1306"/>
      <c r="AR51" s="1306"/>
      <c r="AS51" s="1306"/>
      <c r="AT51" s="1306"/>
      <c r="AU51" s="1306"/>
      <c r="AV51" s="1306"/>
      <c r="AW51" s="1306"/>
      <c r="AX51" s="1306"/>
      <c r="AY51" s="1306"/>
      <c r="AZ51" s="1306"/>
      <c r="BA51" s="1306"/>
      <c r="BB51" s="1306"/>
      <c r="BC51" s="1306"/>
      <c r="BD51" s="1306"/>
      <c r="BE51" s="1306"/>
      <c r="BF51" s="1306"/>
      <c r="BG51" s="1307">
        <f>DATOS!$F$133</f>
        <v>0</v>
      </c>
      <c r="BH51" s="1307"/>
      <c r="BI51" s="1307"/>
      <c r="BJ51" s="1307"/>
      <c r="BK51" s="1308"/>
      <c r="BL51" s="1322"/>
      <c r="BM51" s="619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</row>
    <row r="52" spans="1:99" ht="13.5" thickBot="1">
      <c r="A52" s="619"/>
      <c r="B52" s="1252">
        <f>DATOS!$U$247</f>
        <v>0</v>
      </c>
      <c r="C52" s="1252"/>
      <c r="D52" s="1252"/>
      <c r="E52" s="6" t="s">
        <v>224</v>
      </c>
      <c r="F52" s="122"/>
      <c r="G52" s="117"/>
      <c r="H52" s="6"/>
      <c r="I52" s="126"/>
      <c r="J52" s="6"/>
      <c r="K52" s="117"/>
      <c r="L52" s="117"/>
      <c r="M52" s="117"/>
      <c r="N52" s="1250">
        <f>DATOS!V247</f>
        <v>0</v>
      </c>
      <c r="O52" s="1250"/>
      <c r="P52" s="1250"/>
      <c r="Q52" s="1250"/>
      <c r="R52" s="1250"/>
      <c r="S52" s="1250"/>
      <c r="T52" s="1250"/>
      <c r="U52" s="117"/>
      <c r="V52" s="117"/>
      <c r="W52" s="6"/>
      <c r="X52" s="6"/>
      <c r="Y52" s="6"/>
      <c r="Z52" s="1250">
        <f>DATOS!X247</f>
        <v>0</v>
      </c>
      <c r="AA52" s="1250"/>
      <c r="AB52" s="1250"/>
      <c r="AC52" s="1250"/>
      <c r="AD52" s="1250"/>
      <c r="AE52" s="1250"/>
      <c r="AF52" s="1250"/>
      <c r="AG52" s="232"/>
      <c r="AH52" s="99"/>
      <c r="AI52" s="643"/>
      <c r="AJ52" s="1305" t="str">
        <f>IF(DATOS!B134="si","PLANO LUCHA CONTRA EL FUEGO / VIAS DE ESCAPE"," ")</f>
        <v xml:space="preserve"> </v>
      </c>
      <c r="AK52" s="1306"/>
      <c r="AL52" s="1306"/>
      <c r="AM52" s="1306"/>
      <c r="AN52" s="1306"/>
      <c r="AO52" s="1306"/>
      <c r="AP52" s="1306"/>
      <c r="AQ52" s="1306"/>
      <c r="AR52" s="1306"/>
      <c r="AS52" s="1306"/>
      <c r="AT52" s="1306"/>
      <c r="AU52" s="1306"/>
      <c r="AV52" s="1306"/>
      <c r="AW52" s="1306"/>
      <c r="AX52" s="1306"/>
      <c r="AY52" s="1306"/>
      <c r="AZ52" s="1306"/>
      <c r="BA52" s="1306"/>
      <c r="BB52" s="1306"/>
      <c r="BC52" s="1306"/>
      <c r="BD52" s="1306"/>
      <c r="BE52" s="1306"/>
      <c r="BF52" s="1306"/>
      <c r="BG52" s="1309"/>
      <c r="BH52" s="1309"/>
      <c r="BI52" s="1309"/>
      <c r="BJ52" s="1309"/>
      <c r="BK52" s="1310"/>
      <c r="BL52" s="639"/>
      <c r="BM52" s="619"/>
    </row>
    <row r="53" spans="1:99" ht="16.5" thickBot="1">
      <c r="A53" s="619"/>
      <c r="B53" s="6" t="s">
        <v>37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40"/>
      <c r="O53" s="240"/>
      <c r="P53" s="240"/>
      <c r="Q53" s="240"/>
      <c r="R53" s="240"/>
      <c r="S53" s="240"/>
      <c r="T53" s="240"/>
      <c r="U53" s="6"/>
      <c r="V53" s="6"/>
      <c r="W53" s="6"/>
      <c r="X53" s="6"/>
      <c r="Y53" s="6"/>
      <c r="Z53" s="1247">
        <f>DATOS!$X$249</f>
        <v>0</v>
      </c>
      <c r="AA53" s="1247"/>
      <c r="AB53" s="1247"/>
      <c r="AC53" s="1247"/>
      <c r="AD53" s="1247"/>
      <c r="AE53" s="1247"/>
      <c r="AF53" s="1247"/>
      <c r="AG53" s="1247"/>
      <c r="AH53" s="99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0"/>
      <c r="AV53" s="640"/>
      <c r="AW53" s="640"/>
      <c r="AX53" s="640"/>
      <c r="AY53" s="640"/>
      <c r="AZ53" s="640"/>
      <c r="BA53" s="640"/>
      <c r="BB53" s="639"/>
      <c r="BC53" s="639"/>
      <c r="BD53" s="639"/>
      <c r="BE53" s="639"/>
      <c r="BF53" s="639"/>
      <c r="BG53" s="639"/>
      <c r="BH53" s="639"/>
      <c r="BI53" s="639"/>
      <c r="BJ53" s="639"/>
      <c r="BK53" s="639"/>
      <c r="BL53" s="639"/>
      <c r="BM53" s="619"/>
    </row>
    <row r="54" spans="1:99" ht="23.25" customHeight="1" thickBot="1">
      <c r="A54" s="619"/>
      <c r="B54" s="6" t="s">
        <v>262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3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247">
        <f>DATOS!$O$112</f>
        <v>23200</v>
      </c>
      <c r="AA54" s="1247"/>
      <c r="AB54" s="1247"/>
      <c r="AC54" s="1247"/>
      <c r="AD54" s="1247"/>
      <c r="AE54" s="1247"/>
      <c r="AF54" s="1247"/>
      <c r="AG54" s="1247"/>
      <c r="AH54" s="99"/>
      <c r="AI54" s="643"/>
      <c r="AJ54" s="1337" t="s">
        <v>639</v>
      </c>
      <c r="AK54" s="1338"/>
      <c r="AL54" s="1338"/>
      <c r="AM54" s="1338"/>
      <c r="AN54" s="1338"/>
      <c r="AO54" s="1338"/>
      <c r="AP54" s="1338"/>
      <c r="AQ54" s="1338"/>
      <c r="AR54" s="1338"/>
      <c r="AS54" s="1338"/>
      <c r="AT54" s="1338"/>
      <c r="AU54" s="1338"/>
      <c r="AV54" s="1338"/>
      <c r="AW54" s="1338"/>
      <c r="AX54" s="1338"/>
      <c r="AY54" s="1338"/>
      <c r="AZ54" s="1338"/>
      <c r="BA54" s="1338"/>
      <c r="BB54" s="1338"/>
      <c r="BC54" s="1338"/>
      <c r="BD54" s="1338"/>
      <c r="BE54" s="1338"/>
      <c r="BF54" s="1339"/>
      <c r="BG54" s="1340">
        <f>DATOS!$L$103</f>
        <v>0</v>
      </c>
      <c r="BH54" s="1341"/>
      <c r="BI54" s="1341"/>
      <c r="BJ54" s="1341"/>
      <c r="BK54" s="1342"/>
      <c r="BL54" s="641"/>
      <c r="BM54" s="619"/>
    </row>
    <row r="55" spans="1:99" ht="13.5" thickBot="1">
      <c r="A55" s="619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43"/>
      <c r="AR55" s="643"/>
      <c r="AS55" s="643"/>
      <c r="AT55" s="643"/>
      <c r="AU55" s="640"/>
      <c r="AV55" s="640"/>
      <c r="AW55" s="640"/>
      <c r="AX55" s="640"/>
      <c r="AY55" s="640"/>
      <c r="AZ55" s="640"/>
      <c r="BA55" s="640"/>
      <c r="BB55" s="639"/>
      <c r="BC55" s="639"/>
      <c r="BD55" s="639"/>
      <c r="BE55" s="639"/>
      <c r="BF55" s="639"/>
      <c r="BG55" s="639"/>
      <c r="BH55" s="639"/>
      <c r="BI55" s="639"/>
      <c r="BJ55" s="642"/>
      <c r="BK55" s="642"/>
      <c r="BL55" s="642"/>
      <c r="BM55" s="619"/>
    </row>
    <row r="56" spans="1:99" ht="26.45" customHeight="1" thickBot="1">
      <c r="A56" s="619"/>
      <c r="B56" s="1311" t="s">
        <v>641</v>
      </c>
      <c r="C56" s="1312"/>
      <c r="D56" s="1312"/>
      <c r="E56" s="1312"/>
      <c r="F56" s="1312"/>
      <c r="G56" s="1312"/>
      <c r="H56" s="1312"/>
      <c r="I56" s="1312"/>
      <c r="J56" s="1312"/>
      <c r="K56" s="1312"/>
      <c r="L56" s="1312"/>
      <c r="M56" s="1312"/>
      <c r="N56" s="1312"/>
      <c r="O56" s="1312"/>
      <c r="P56" s="1312"/>
      <c r="Q56" s="1312"/>
      <c r="R56" s="1312"/>
      <c r="S56" s="1312"/>
      <c r="T56" s="1312"/>
      <c r="U56" s="1312"/>
      <c r="V56" s="1312"/>
      <c r="W56" s="1312"/>
      <c r="X56" s="1312"/>
      <c r="Y56" s="1312"/>
      <c r="Z56" s="1312"/>
      <c r="AA56" s="1312"/>
      <c r="AB56" s="1312"/>
      <c r="AC56" s="1312"/>
      <c r="AD56" s="1312"/>
      <c r="AE56" s="1312"/>
      <c r="AF56" s="1312"/>
      <c r="AG56" s="1312"/>
      <c r="AH56" s="1312"/>
      <c r="AI56" s="1313"/>
      <c r="AJ56" s="1335">
        <f>DATOS!$O$140</f>
        <v>0</v>
      </c>
      <c r="AK56" s="1335"/>
      <c r="AL56" s="1335"/>
      <c r="AM56" s="1335"/>
      <c r="AN56" s="1335"/>
      <c r="AO56" s="1335"/>
      <c r="AP56" s="1335"/>
      <c r="AQ56" s="1335"/>
      <c r="AR56" s="1335"/>
      <c r="AS56" s="1335"/>
      <c r="AT56" s="1335"/>
      <c r="AU56" s="1335"/>
      <c r="AV56" s="1336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1"/>
      <c r="BM56" s="619"/>
    </row>
    <row r="57" spans="1:99" ht="24" thickBot="1">
      <c r="A57" s="619"/>
      <c r="B57" s="636" t="s">
        <v>536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323"/>
      <c r="AE57" s="323"/>
      <c r="AF57" s="323"/>
      <c r="AG57" s="323"/>
      <c r="AH57" s="323"/>
      <c r="AI57" s="637"/>
      <c r="AJ57" s="1335" t="str">
        <f>DATOS!$J$141</f>
        <v xml:space="preserve"> </v>
      </c>
      <c r="AK57" s="1335"/>
      <c r="AL57" s="1335"/>
      <c r="AM57" s="1335"/>
      <c r="AN57" s="1335"/>
      <c r="AO57" s="1335"/>
      <c r="AP57" s="1335"/>
      <c r="AQ57" s="1335"/>
      <c r="AR57" s="1335"/>
      <c r="AS57" s="1335"/>
      <c r="AT57" s="1335"/>
      <c r="AU57" s="1335"/>
      <c r="AV57" s="1336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4"/>
      <c r="BM57" s="619"/>
    </row>
    <row r="58" spans="1:99" ht="25.15" customHeight="1" thickBot="1">
      <c r="A58" s="619"/>
      <c r="B58" s="635" t="s">
        <v>147</v>
      </c>
      <c r="C58" s="323"/>
      <c r="D58" s="324"/>
      <c r="E58" s="324"/>
      <c r="F58" s="324"/>
      <c r="G58" s="324"/>
      <c r="H58" s="325"/>
      <c r="I58" s="324"/>
      <c r="J58" s="324"/>
      <c r="K58" s="324"/>
      <c r="L58" s="324"/>
      <c r="M58" s="325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637"/>
      <c r="AJ58" s="1317" t="str">
        <f>DATOS!$J$142</f>
        <v>ERROR</v>
      </c>
      <c r="AK58" s="1317"/>
      <c r="AL58" s="1317"/>
      <c r="AM58" s="1317"/>
      <c r="AN58" s="1317"/>
      <c r="AO58" s="1317"/>
      <c r="AP58" s="1317"/>
      <c r="AQ58" s="1317"/>
      <c r="AR58" s="1317"/>
      <c r="AS58" s="1317"/>
      <c r="AT58" s="1317"/>
      <c r="AU58" s="1317"/>
      <c r="AV58" s="1318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1"/>
      <c r="BM58" s="619"/>
    </row>
    <row r="59" spans="1:99" ht="15" customHeight="1" thickBot="1">
      <c r="A59" s="619"/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33"/>
      <c r="AJ59" s="628"/>
      <c r="AK59" s="628"/>
      <c r="AL59" s="628"/>
      <c r="AM59" s="628"/>
      <c r="AN59" s="628"/>
      <c r="AO59" s="628"/>
      <c r="AP59" s="628"/>
      <c r="AQ59" s="628"/>
      <c r="AR59" s="628"/>
      <c r="AS59" s="628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8"/>
      <c r="BE59" s="628"/>
      <c r="BF59" s="628"/>
      <c r="BG59" s="628"/>
      <c r="BH59" s="628"/>
      <c r="BI59" s="628"/>
      <c r="BJ59" s="628"/>
      <c r="BK59" s="628"/>
      <c r="BL59" s="634"/>
      <c r="BM59" s="619"/>
    </row>
    <row r="60" spans="1:99" ht="15.75" customHeight="1" thickBot="1">
      <c r="A60" s="619"/>
      <c r="B60" s="617"/>
      <c r="C60" s="1343" t="s">
        <v>46</v>
      </c>
      <c r="D60" s="1344"/>
      <c r="E60" s="1344"/>
      <c r="F60" s="1344"/>
      <c r="G60" s="1344"/>
      <c r="H60" s="1344"/>
      <c r="I60" s="1344"/>
      <c r="J60" s="1344"/>
      <c r="K60" s="1344"/>
      <c r="L60" s="1344"/>
      <c r="M60" s="1344"/>
      <c r="N60" s="1344"/>
      <c r="O60" s="1345"/>
      <c r="P60" s="1352"/>
      <c r="Q60" s="1353"/>
      <c r="R60" s="1353"/>
      <c r="S60" s="1353"/>
      <c r="T60" s="1353"/>
      <c r="U60" s="1353"/>
      <c r="V60" s="1353"/>
      <c r="W60" s="1353"/>
      <c r="X60" s="1353"/>
      <c r="Y60" s="1353"/>
      <c r="Z60" s="1353"/>
      <c r="AA60" s="1353"/>
      <c r="AB60" s="1353"/>
      <c r="AC60" s="1353"/>
      <c r="AD60" s="1353"/>
      <c r="AE60" s="1353"/>
      <c r="AF60" s="1353"/>
      <c r="AG60" s="1354"/>
      <c r="AH60" s="619"/>
      <c r="AI60" s="632" t="s">
        <v>163</v>
      </c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646"/>
      <c r="BL60" s="622"/>
      <c r="BM60" s="619"/>
    </row>
    <row r="61" spans="1:99" ht="12.6" customHeight="1">
      <c r="A61" s="619"/>
      <c r="B61" s="617"/>
      <c r="C61" s="1346"/>
      <c r="D61" s="1347"/>
      <c r="E61" s="1347"/>
      <c r="F61" s="1347"/>
      <c r="G61" s="1347"/>
      <c r="H61" s="1347"/>
      <c r="I61" s="1347"/>
      <c r="J61" s="1347"/>
      <c r="K61" s="1347"/>
      <c r="L61" s="1347"/>
      <c r="M61" s="1347"/>
      <c r="N61" s="1347"/>
      <c r="O61" s="1348"/>
      <c r="P61" s="1355"/>
      <c r="Q61" s="1356"/>
      <c r="R61" s="1356"/>
      <c r="S61" s="1356"/>
      <c r="T61" s="1356"/>
      <c r="U61" s="1356"/>
      <c r="V61" s="1356"/>
      <c r="W61" s="1356"/>
      <c r="X61" s="1356"/>
      <c r="Y61" s="1356"/>
      <c r="Z61" s="1356"/>
      <c r="AA61" s="1356"/>
      <c r="AB61" s="1356"/>
      <c r="AC61" s="1356"/>
      <c r="AD61" s="1356"/>
      <c r="AE61" s="1356"/>
      <c r="AF61" s="1356"/>
      <c r="AG61" s="1357"/>
      <c r="AH61" s="619"/>
      <c r="AI61" s="1326" t="str">
        <f>DATOS!$G$54</f>
        <v>#</v>
      </c>
      <c r="AJ61" s="1327"/>
      <c r="AK61" s="1327"/>
      <c r="AL61" s="1327"/>
      <c r="AM61" s="1327"/>
      <c r="AN61" s="1327"/>
      <c r="AO61" s="1327"/>
      <c r="AP61" s="1327"/>
      <c r="AQ61" s="1327"/>
      <c r="AR61" s="1327"/>
      <c r="AS61" s="1327"/>
      <c r="AT61" s="1327"/>
      <c r="AU61" s="1327"/>
      <c r="AV61" s="1327"/>
      <c r="AW61" s="1327"/>
      <c r="AX61" s="1327"/>
      <c r="AY61" s="1327"/>
      <c r="AZ61" s="1327"/>
      <c r="BA61" s="1327"/>
      <c r="BB61" s="1327"/>
      <c r="BC61" s="1327"/>
      <c r="BD61" s="1327"/>
      <c r="BE61" s="1327"/>
      <c r="BF61" s="1327"/>
      <c r="BG61" s="1327"/>
      <c r="BH61" s="1327"/>
      <c r="BI61" s="1327"/>
      <c r="BJ61" s="1327"/>
      <c r="BK61" s="1328"/>
      <c r="BL61" s="631"/>
      <c r="BM61" s="619"/>
    </row>
    <row r="62" spans="1:99" ht="16.5" customHeight="1">
      <c r="A62" s="619"/>
      <c r="B62" s="617"/>
      <c r="C62" s="1346"/>
      <c r="D62" s="1347"/>
      <c r="E62" s="1347"/>
      <c r="F62" s="1347"/>
      <c r="G62" s="1347"/>
      <c r="H62" s="1347"/>
      <c r="I62" s="1347"/>
      <c r="J62" s="1347"/>
      <c r="K62" s="1347"/>
      <c r="L62" s="1347"/>
      <c r="M62" s="1347"/>
      <c r="N62" s="1347"/>
      <c r="O62" s="1348"/>
      <c r="P62" s="1355"/>
      <c r="Q62" s="1356"/>
      <c r="R62" s="1356"/>
      <c r="S62" s="1356"/>
      <c r="T62" s="1356"/>
      <c r="U62" s="1356"/>
      <c r="V62" s="1356"/>
      <c r="W62" s="1356"/>
      <c r="X62" s="1356"/>
      <c r="Y62" s="1356"/>
      <c r="Z62" s="1356"/>
      <c r="AA62" s="1356"/>
      <c r="AB62" s="1356"/>
      <c r="AC62" s="1356"/>
      <c r="AD62" s="1356"/>
      <c r="AE62" s="1356"/>
      <c r="AF62" s="1356"/>
      <c r="AG62" s="1357"/>
      <c r="AH62" s="619"/>
      <c r="AI62" s="1329"/>
      <c r="AJ62" s="1330"/>
      <c r="AK62" s="1330"/>
      <c r="AL62" s="1330"/>
      <c r="AM62" s="1330"/>
      <c r="AN62" s="1330"/>
      <c r="AO62" s="1330"/>
      <c r="AP62" s="1330"/>
      <c r="AQ62" s="1330"/>
      <c r="AR62" s="1330"/>
      <c r="AS62" s="1330"/>
      <c r="AT62" s="1330"/>
      <c r="AU62" s="1330"/>
      <c r="AV62" s="1330"/>
      <c r="AW62" s="1330"/>
      <c r="AX62" s="1330"/>
      <c r="AY62" s="1330"/>
      <c r="AZ62" s="1330"/>
      <c r="BA62" s="1330"/>
      <c r="BB62" s="1330"/>
      <c r="BC62" s="1330"/>
      <c r="BD62" s="1330"/>
      <c r="BE62" s="1330"/>
      <c r="BF62" s="1330"/>
      <c r="BG62" s="1330"/>
      <c r="BH62" s="1330"/>
      <c r="BI62" s="1330"/>
      <c r="BJ62" s="1330"/>
      <c r="BK62" s="1331"/>
      <c r="BL62" s="627"/>
      <c r="BM62" s="619"/>
    </row>
    <row r="63" spans="1:99" ht="13.5" customHeight="1" thickBot="1">
      <c r="A63" s="619"/>
      <c r="B63" s="617"/>
      <c r="C63" s="1349"/>
      <c r="D63" s="1350"/>
      <c r="E63" s="1350"/>
      <c r="F63" s="1350"/>
      <c r="G63" s="1350"/>
      <c r="H63" s="1350"/>
      <c r="I63" s="1350"/>
      <c r="J63" s="1350"/>
      <c r="K63" s="1350"/>
      <c r="L63" s="1350"/>
      <c r="M63" s="1350"/>
      <c r="N63" s="1350"/>
      <c r="O63" s="1351"/>
      <c r="P63" s="1358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1359"/>
      <c r="AG63" s="1360"/>
      <c r="AH63" s="619"/>
      <c r="AI63" s="1332"/>
      <c r="AJ63" s="1333"/>
      <c r="AK63" s="1333"/>
      <c r="AL63" s="1333"/>
      <c r="AM63" s="1333"/>
      <c r="AN63" s="1333"/>
      <c r="AO63" s="1333"/>
      <c r="AP63" s="1333"/>
      <c r="AQ63" s="1333"/>
      <c r="AR63" s="1333"/>
      <c r="AS63" s="1333"/>
      <c r="AT63" s="1333"/>
      <c r="AU63" s="1333"/>
      <c r="AV63" s="1333"/>
      <c r="AW63" s="1333"/>
      <c r="AX63" s="1333"/>
      <c r="AY63" s="1333"/>
      <c r="AZ63" s="1333"/>
      <c r="BA63" s="1333"/>
      <c r="BB63" s="1333"/>
      <c r="BC63" s="1333"/>
      <c r="BD63" s="1333"/>
      <c r="BE63" s="1333"/>
      <c r="BF63" s="1333"/>
      <c r="BG63" s="1333"/>
      <c r="BH63" s="1333"/>
      <c r="BI63" s="1333"/>
      <c r="BJ63" s="1333"/>
      <c r="BK63" s="1334"/>
      <c r="BL63" s="627"/>
      <c r="BM63" s="619"/>
    </row>
    <row r="64" spans="1:99" ht="8.25" customHeight="1" thickBot="1">
      <c r="A64" s="619"/>
      <c r="B64" s="617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19"/>
      <c r="AI64" s="629"/>
      <c r="AJ64" s="629"/>
      <c r="AK64" s="629"/>
      <c r="AL64" s="629"/>
      <c r="AM64" s="629"/>
      <c r="AN64" s="629"/>
      <c r="AO64" s="629"/>
      <c r="AP64" s="629"/>
      <c r="AQ64" s="629"/>
      <c r="AR64" s="629"/>
      <c r="AS64" s="629"/>
      <c r="AT64" s="629"/>
      <c r="AU64" s="629"/>
      <c r="AV64" s="629"/>
      <c r="AW64" s="629"/>
      <c r="AX64" s="629"/>
      <c r="AY64" s="629"/>
      <c r="AZ64" s="629"/>
      <c r="BA64" s="629"/>
      <c r="BB64" s="629"/>
      <c r="BC64" s="629"/>
      <c r="BD64" s="629"/>
      <c r="BE64" s="629"/>
      <c r="BF64" s="629"/>
      <c r="BG64" s="629"/>
      <c r="BH64" s="629"/>
      <c r="BI64" s="629"/>
      <c r="BJ64" s="629"/>
      <c r="BK64" s="629"/>
      <c r="BL64" s="627"/>
      <c r="BM64" s="619"/>
    </row>
    <row r="65" spans="1:65" ht="22.9" customHeight="1" thickBot="1">
      <c r="A65" s="619"/>
      <c r="B65" s="617"/>
      <c r="C65" s="597"/>
      <c r="D65" s="598"/>
      <c r="E65" s="598"/>
      <c r="F65" s="599"/>
      <c r="G65" s="598"/>
      <c r="H65" s="598"/>
      <c r="I65" s="598"/>
      <c r="J65" s="598"/>
      <c r="K65" s="600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22"/>
      <c r="AF65" s="177"/>
      <c r="AG65" s="178"/>
      <c r="AH65" s="619"/>
      <c r="AI65" s="1290" t="s">
        <v>44</v>
      </c>
      <c r="AJ65" s="1291"/>
      <c r="AK65" s="1291"/>
      <c r="AL65" s="1291"/>
      <c r="AM65" s="1291"/>
      <c r="AN65" s="1291"/>
      <c r="AO65" s="1291"/>
      <c r="AP65" s="1291"/>
      <c r="AQ65" s="1291"/>
      <c r="AR65" s="1291"/>
      <c r="AS65" s="1291"/>
      <c r="AT65" s="1291"/>
      <c r="AU65" s="1291"/>
      <c r="AV65" s="1291"/>
      <c r="AW65" s="1291"/>
      <c r="AX65" s="1291"/>
      <c r="AY65" s="1291"/>
      <c r="AZ65" s="1291"/>
      <c r="BA65" s="1292"/>
      <c r="BB65" s="1288">
        <f>DATOS!$E$150</f>
        <v>2.9</v>
      </c>
      <c r="BC65" s="1289"/>
      <c r="BD65" s="1289"/>
      <c r="BE65" s="1289"/>
      <c r="BF65" s="1289"/>
      <c r="BG65" s="645"/>
      <c r="BH65" s="253"/>
      <c r="BI65" s="253"/>
      <c r="BJ65" s="253"/>
      <c r="BK65" s="253"/>
      <c r="BL65" s="627"/>
      <c r="BM65" s="619"/>
    </row>
    <row r="66" spans="1:65" ht="13.15" customHeight="1" thickBot="1">
      <c r="A66" s="619"/>
      <c r="B66" s="617"/>
      <c r="C66" s="601"/>
      <c r="D66" s="374"/>
      <c r="E66" s="374"/>
      <c r="F66" s="374"/>
      <c r="G66" s="375"/>
      <c r="H66" s="374"/>
      <c r="I66" s="596"/>
      <c r="J66" s="596"/>
      <c r="K66" s="375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253"/>
      <c r="AF66" s="57"/>
      <c r="AG66" s="180"/>
      <c r="AH66" s="619"/>
      <c r="AI66" s="630"/>
      <c r="AJ66" s="630"/>
      <c r="AK66" s="630"/>
      <c r="AL66" s="630"/>
      <c r="AM66" s="630"/>
      <c r="AN66" s="630"/>
      <c r="AO66" s="630"/>
      <c r="AP66" s="630"/>
      <c r="AQ66" s="630"/>
      <c r="AR66" s="630"/>
      <c r="AS66" s="630"/>
      <c r="AT66" s="630"/>
      <c r="AU66" s="630"/>
      <c r="AV66" s="630"/>
      <c r="AW66" s="630"/>
      <c r="AX66" s="630"/>
      <c r="AY66" s="630"/>
      <c r="AZ66" s="630"/>
      <c r="BA66" s="630"/>
      <c r="BB66" s="630"/>
      <c r="BC66" s="630"/>
      <c r="BD66" s="630"/>
      <c r="BE66" s="630"/>
      <c r="BF66" s="630"/>
      <c r="BG66" s="630"/>
      <c r="BH66" s="630"/>
      <c r="BI66" s="630"/>
      <c r="BJ66" s="630"/>
      <c r="BK66" s="630"/>
      <c r="BL66" s="627"/>
      <c r="BM66" s="619"/>
    </row>
    <row r="67" spans="1:65" ht="13.5" customHeight="1">
      <c r="A67" s="619"/>
      <c r="B67" s="617"/>
      <c r="C67" s="601"/>
      <c r="D67" s="374"/>
      <c r="E67" s="374"/>
      <c r="F67" s="375"/>
      <c r="G67" s="374"/>
      <c r="H67" s="374"/>
      <c r="I67" s="374"/>
      <c r="J67" s="374"/>
      <c r="K67" s="375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253"/>
      <c r="AF67" s="57"/>
      <c r="AG67" s="180"/>
      <c r="AH67" s="619"/>
      <c r="AI67" s="1193" t="s">
        <v>133</v>
      </c>
      <c r="AJ67" s="1194"/>
      <c r="AK67" s="1194"/>
      <c r="AL67" s="1194"/>
      <c r="AM67" s="1194"/>
      <c r="AN67" s="1194"/>
      <c r="AO67" s="1194"/>
      <c r="AP67" s="1194"/>
      <c r="AQ67" s="1194"/>
      <c r="AR67" s="1194"/>
      <c r="AS67" s="1194"/>
      <c r="AT67" s="1194"/>
      <c r="AU67" s="1194"/>
      <c r="AV67" s="1194"/>
      <c r="AW67" s="1194"/>
      <c r="AX67" s="1194"/>
      <c r="AY67" s="1194"/>
      <c r="AZ67" s="1195"/>
      <c r="BA67" s="1299" t="e">
        <f>ROUNDUP(AJ58/10,0)</f>
        <v>#VALUE!</v>
      </c>
      <c r="BB67" s="1300"/>
      <c r="BC67" s="1300"/>
      <c r="BD67" s="1300"/>
      <c r="BE67" s="1300"/>
      <c r="BF67" s="1300"/>
      <c r="BG67" s="1300"/>
      <c r="BH67" s="1300"/>
      <c r="BI67" s="1300"/>
      <c r="BJ67" s="1300"/>
      <c r="BK67" s="1301"/>
      <c r="BL67" s="627"/>
      <c r="BM67" s="619"/>
    </row>
    <row r="68" spans="1:65" ht="13.5" thickBot="1">
      <c r="A68" s="619"/>
      <c r="B68" s="617"/>
      <c r="C68" s="601"/>
      <c r="D68" s="374"/>
      <c r="E68" s="374"/>
      <c r="F68" s="375"/>
      <c r="G68" s="374"/>
      <c r="H68" s="374"/>
      <c r="I68" s="374"/>
      <c r="J68" s="374"/>
      <c r="K68" s="375"/>
      <c r="L68" s="374"/>
      <c r="M68" s="374"/>
      <c r="N68" s="374"/>
      <c r="O68" s="596"/>
      <c r="P68" s="596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253"/>
      <c r="AF68" s="57"/>
      <c r="AG68" s="180"/>
      <c r="AH68" s="619"/>
      <c r="AI68" s="1196"/>
      <c r="AJ68" s="1197"/>
      <c r="AK68" s="1197"/>
      <c r="AL68" s="1197"/>
      <c r="AM68" s="1197"/>
      <c r="AN68" s="1197"/>
      <c r="AO68" s="1197"/>
      <c r="AP68" s="1197"/>
      <c r="AQ68" s="1197"/>
      <c r="AR68" s="1197"/>
      <c r="AS68" s="1197"/>
      <c r="AT68" s="1197"/>
      <c r="AU68" s="1197"/>
      <c r="AV68" s="1197"/>
      <c r="AW68" s="1197"/>
      <c r="AX68" s="1197"/>
      <c r="AY68" s="1197"/>
      <c r="AZ68" s="1198"/>
      <c r="BA68" s="1302"/>
      <c r="BB68" s="1303"/>
      <c r="BC68" s="1303"/>
      <c r="BD68" s="1303"/>
      <c r="BE68" s="1303"/>
      <c r="BF68" s="1303"/>
      <c r="BG68" s="1303"/>
      <c r="BH68" s="1303"/>
      <c r="BI68" s="1303"/>
      <c r="BJ68" s="1303"/>
      <c r="BK68" s="1304"/>
      <c r="BL68" s="627"/>
      <c r="BM68" s="619"/>
    </row>
    <row r="69" spans="1:65" ht="7.9" customHeight="1">
      <c r="A69" s="619"/>
      <c r="B69" s="617"/>
      <c r="C69" s="601"/>
      <c r="D69" s="374"/>
      <c r="E69" s="374"/>
      <c r="F69" s="375"/>
      <c r="G69" s="374"/>
      <c r="H69" s="374"/>
      <c r="I69" s="374"/>
      <c r="J69" s="374"/>
      <c r="K69" s="375"/>
      <c r="L69" s="374"/>
      <c r="M69" s="374"/>
      <c r="N69" s="374"/>
      <c r="O69" s="374"/>
      <c r="P69" s="374"/>
      <c r="Q69" s="374"/>
      <c r="R69" s="374"/>
      <c r="S69" s="374"/>
      <c r="T69" s="374"/>
      <c r="U69" s="596"/>
      <c r="V69" s="596"/>
      <c r="W69" s="374"/>
      <c r="X69" s="374"/>
      <c r="Y69" s="374"/>
      <c r="Z69" s="374"/>
      <c r="AA69" s="374"/>
      <c r="AB69" s="374"/>
      <c r="AC69" s="374"/>
      <c r="AD69" s="374"/>
      <c r="AE69" s="253"/>
      <c r="AF69" s="57"/>
      <c r="AG69" s="180"/>
      <c r="AH69" s="619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0"/>
      <c r="BF69" s="630"/>
      <c r="BG69" s="630"/>
      <c r="BH69" s="630"/>
      <c r="BI69" s="630"/>
      <c r="BJ69" s="630"/>
      <c r="BK69" s="630"/>
      <c r="BL69" s="627"/>
      <c r="BM69" s="619"/>
    </row>
    <row r="70" spans="1:65" ht="20.45" customHeight="1" thickBot="1">
      <c r="A70" s="619"/>
      <c r="B70" s="617"/>
      <c r="C70" s="601"/>
      <c r="D70" s="374"/>
      <c r="E70" s="374"/>
      <c r="F70" s="375"/>
      <c r="G70" s="374"/>
      <c r="H70" s="374"/>
      <c r="I70" s="374"/>
      <c r="J70" s="374"/>
      <c r="K70" s="375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253"/>
      <c r="AF70" s="57"/>
      <c r="AG70" s="180"/>
      <c r="AH70" s="619"/>
      <c r="AI70" s="327" t="s">
        <v>58</v>
      </c>
      <c r="AJ70" s="322"/>
      <c r="AK70" s="322"/>
      <c r="AL70" s="322"/>
      <c r="AM70" s="322"/>
      <c r="AN70" s="322"/>
      <c r="AO70" s="322"/>
      <c r="AP70" s="322"/>
      <c r="AQ70" s="322"/>
      <c r="AR70" s="328"/>
      <c r="AS70" s="328"/>
      <c r="AT70" s="328"/>
      <c r="AU70" s="328"/>
      <c r="AV70" s="328"/>
      <c r="AW70" s="328"/>
      <c r="AX70" s="328"/>
      <c r="AY70" s="328"/>
      <c r="AZ70" s="8"/>
      <c r="BA70" s="8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7"/>
      <c r="BM70" s="619"/>
    </row>
    <row r="71" spans="1:65" ht="21" thickBot="1">
      <c r="A71" s="619"/>
      <c r="B71" s="617"/>
      <c r="C71" s="601"/>
      <c r="D71" s="374"/>
      <c r="E71" s="374"/>
      <c r="F71" s="375"/>
      <c r="G71" s="374"/>
      <c r="H71" s="374"/>
      <c r="I71" s="374"/>
      <c r="J71" s="374"/>
      <c r="K71" s="375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253"/>
      <c r="AF71" s="57"/>
      <c r="AG71" s="180"/>
      <c r="AH71" s="619"/>
      <c r="AI71" s="1293" t="s">
        <v>180</v>
      </c>
      <c r="AJ71" s="1293"/>
      <c r="AK71" s="1293"/>
      <c r="AL71" s="1293"/>
      <c r="AM71" s="1293"/>
      <c r="AN71" s="1294">
        <f>IF(AU71&lt;DATOS!S146,"Min.",2.5)</f>
        <v>2.5</v>
      </c>
      <c r="AO71" s="1294"/>
      <c r="AP71" s="1294"/>
      <c r="AQ71" s="1295" t="str">
        <f>IF(AU71&lt;DATOS!S146,"Por","% de")</f>
        <v>% de</v>
      </c>
      <c r="AR71" s="1295"/>
      <c r="AS71" s="1295"/>
      <c r="AT71" s="1295"/>
      <c r="AU71" s="1286" t="str">
        <f>AJ58</f>
        <v>ERROR</v>
      </c>
      <c r="AV71" s="1286"/>
      <c r="AW71" s="1286"/>
      <c r="AX71" s="1286"/>
      <c r="AY71" s="1286"/>
      <c r="AZ71" s="1286"/>
      <c r="BA71" s="1287"/>
      <c r="BB71" s="1296" t="e">
        <f>DATOS!$E$152</f>
        <v>#VALUE!</v>
      </c>
      <c r="BC71" s="1297"/>
      <c r="BD71" s="1297"/>
      <c r="BE71" s="1297"/>
      <c r="BF71" s="1297"/>
      <c r="BG71" s="1297"/>
      <c r="BH71" s="1297"/>
      <c r="BI71" s="1297"/>
      <c r="BJ71" s="1297"/>
      <c r="BK71" s="1298"/>
      <c r="BL71" s="627"/>
      <c r="BM71" s="619"/>
    </row>
    <row r="72" spans="1:65" ht="26.25">
      <c r="A72" s="619"/>
      <c r="B72" s="617"/>
      <c r="C72" s="601"/>
      <c r="D72" s="374"/>
      <c r="E72" s="374"/>
      <c r="F72" s="375"/>
      <c r="G72" s="374"/>
      <c r="H72" s="374"/>
      <c r="I72" s="374"/>
      <c r="J72" s="374"/>
      <c r="K72" s="375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253"/>
      <c r="AF72" s="326"/>
      <c r="AG72" s="602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19"/>
      <c r="AT72" s="619"/>
      <c r="AU72" s="619"/>
      <c r="AV72" s="619"/>
      <c r="AW72" s="619"/>
      <c r="AX72" s="619"/>
      <c r="AY72" s="619"/>
      <c r="AZ72" s="619"/>
      <c r="BA72" s="619"/>
      <c r="BB72" s="619"/>
      <c r="BC72" s="619"/>
      <c r="BD72" s="619"/>
      <c r="BE72" s="619"/>
      <c r="BF72" s="619"/>
      <c r="BG72" s="619"/>
      <c r="BH72" s="619"/>
      <c r="BI72" s="619"/>
      <c r="BJ72" s="619"/>
      <c r="BK72" s="619"/>
      <c r="BL72" s="627"/>
      <c r="BM72" s="619"/>
    </row>
    <row r="73" spans="1:65">
      <c r="A73" s="619"/>
      <c r="B73" s="617"/>
      <c r="C73" s="601"/>
      <c r="D73" s="374"/>
      <c r="E73" s="374"/>
      <c r="F73" s="375"/>
      <c r="G73" s="374"/>
      <c r="H73" s="374"/>
      <c r="I73" s="374"/>
      <c r="J73" s="374"/>
      <c r="K73" s="375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253"/>
      <c r="AF73" s="57"/>
      <c r="AG73" s="180"/>
      <c r="AH73" s="619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627"/>
      <c r="BM73" s="619"/>
    </row>
    <row r="74" spans="1:65">
      <c r="A74" s="619"/>
      <c r="B74" s="617"/>
      <c r="C74" s="601"/>
      <c r="D74" s="374"/>
      <c r="E74" s="374"/>
      <c r="F74" s="375"/>
      <c r="G74" s="374"/>
      <c r="H74" s="374"/>
      <c r="I74" s="374"/>
      <c r="J74" s="374"/>
      <c r="K74" s="375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253"/>
      <c r="AF74" s="57"/>
      <c r="AG74" s="180"/>
      <c r="AH74" s="619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627"/>
      <c r="BM74" s="619"/>
    </row>
    <row r="75" spans="1:65">
      <c r="A75" s="619"/>
      <c r="B75" s="617"/>
      <c r="C75" s="601"/>
      <c r="D75" s="374"/>
      <c r="E75" s="374"/>
      <c r="F75" s="375"/>
      <c r="G75" s="374"/>
      <c r="H75" s="374"/>
      <c r="I75" s="374"/>
      <c r="J75" s="374"/>
      <c r="K75" s="375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253"/>
      <c r="AF75" s="57"/>
      <c r="AG75" s="180"/>
      <c r="AH75" s="619"/>
      <c r="AI75" s="57" t="s">
        <v>39</v>
      </c>
      <c r="AJ75" s="8"/>
      <c r="AK75" s="8"/>
      <c r="AL75" s="8"/>
      <c r="AM75" s="8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627"/>
      <c r="BM75" s="619"/>
    </row>
    <row r="76" spans="1:65">
      <c r="A76" s="619"/>
      <c r="B76" s="617"/>
      <c r="C76" s="601"/>
      <c r="D76" s="374"/>
      <c r="E76" s="374"/>
      <c r="F76" s="375"/>
      <c r="G76" s="374"/>
      <c r="H76" s="374"/>
      <c r="I76" s="374"/>
      <c r="J76" s="374"/>
      <c r="K76" s="375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253"/>
      <c r="AF76" s="57"/>
      <c r="AG76" s="180"/>
      <c r="AH76" s="619"/>
      <c r="AI76" s="57" t="s">
        <v>39</v>
      </c>
      <c r="AJ76" s="1226" t="str">
        <f>'CONTRATO '!E90</f>
        <v>FIRMA DEL PROFESIONAL</v>
      </c>
      <c r="AK76" s="1226"/>
      <c r="AL76" s="1226"/>
      <c r="AM76" s="1226"/>
      <c r="AN76" s="1226"/>
      <c r="AO76" s="1226"/>
      <c r="AP76" s="1226"/>
      <c r="AQ76" s="1226"/>
      <c r="AR76" s="1226"/>
      <c r="AS76" s="1226"/>
      <c r="AT76" s="1226"/>
      <c r="AU76" s="1226"/>
      <c r="AV76" s="1226"/>
      <c r="AW76" s="1226"/>
      <c r="AX76" s="1226"/>
      <c r="AY76" s="1226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627"/>
      <c r="BM76" s="619"/>
    </row>
    <row r="77" spans="1:65">
      <c r="A77" s="619"/>
      <c r="B77" s="617"/>
      <c r="C77" s="601"/>
      <c r="D77" s="374"/>
      <c r="E77" s="374"/>
      <c r="F77" s="375"/>
      <c r="G77" s="374"/>
      <c r="H77" s="374"/>
      <c r="I77" s="374"/>
      <c r="J77" s="374"/>
      <c r="K77" s="375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253"/>
      <c r="AF77" s="57"/>
      <c r="AG77" s="180"/>
      <c r="AH77" s="619"/>
      <c r="AI77" s="57"/>
      <c r="AJ77" s="8" t="str">
        <f>'CONTRATO '!F91</f>
        <v>Nombre :</v>
      </c>
      <c r="AL77" s="8"/>
      <c r="AM77" s="8"/>
      <c r="AN77" s="8" t="str">
        <f>'CONTRATO '!I91</f>
        <v>#</v>
      </c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8"/>
      <c r="AZ77" s="8"/>
      <c r="BA77" s="8"/>
      <c r="BB77" s="8"/>
      <c r="BD77" s="8"/>
      <c r="BE77" s="8"/>
      <c r="BF77" s="8"/>
      <c r="BG77" s="8"/>
      <c r="BH77" s="8"/>
      <c r="BI77" s="8"/>
      <c r="BJ77" s="8"/>
      <c r="BK77" s="8"/>
      <c r="BL77" s="627"/>
      <c r="BM77" s="619"/>
    </row>
    <row r="78" spans="1:65">
      <c r="A78" s="619"/>
      <c r="B78" s="617"/>
      <c r="C78" s="601"/>
      <c r="D78" s="374"/>
      <c r="E78" s="374"/>
      <c r="F78" s="374"/>
      <c r="G78" s="374"/>
      <c r="H78" s="375"/>
      <c r="I78" s="374"/>
      <c r="J78" s="374"/>
      <c r="K78" s="374"/>
      <c r="L78" s="374"/>
      <c r="M78" s="375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253"/>
      <c r="AF78" s="57"/>
      <c r="AG78" s="180"/>
      <c r="AH78" s="619"/>
      <c r="AI78" s="8"/>
      <c r="AJ78" s="8" t="str">
        <f>'CONTRATO '!F92</f>
        <v>Domicilio:</v>
      </c>
      <c r="AL78" s="8"/>
      <c r="AM78" s="8"/>
      <c r="AN78" s="8" t="str">
        <f>'CONTRATO '!I92</f>
        <v>#</v>
      </c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7"/>
      <c r="BM78" s="619"/>
    </row>
    <row r="79" spans="1:65" ht="13.5" thickBot="1">
      <c r="A79" s="619"/>
      <c r="B79" s="617"/>
      <c r="C79" s="603"/>
      <c r="D79" s="604"/>
      <c r="E79" s="604"/>
      <c r="F79" s="604"/>
      <c r="G79" s="604"/>
      <c r="H79" s="605"/>
      <c r="I79" s="604"/>
      <c r="J79" s="604"/>
      <c r="K79" s="604"/>
      <c r="L79" s="604"/>
      <c r="M79" s="605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533"/>
      <c r="AF79" s="182"/>
      <c r="AG79" s="183"/>
      <c r="AH79" s="619"/>
      <c r="AI79" s="8"/>
      <c r="AJ79" s="8" t="str">
        <f>'CONTRATO '!F93</f>
        <v xml:space="preserve">Matricula: </v>
      </c>
      <c r="AL79" s="8"/>
      <c r="AM79" s="8"/>
      <c r="AN79" s="8" t="str">
        <f>'CONTRATO '!I93</f>
        <v>#</v>
      </c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8"/>
      <c r="AZ79" s="8"/>
      <c r="BA79" s="8"/>
      <c r="BB79" s="8"/>
      <c r="BC79" s="8"/>
      <c r="BD79" s="8"/>
      <c r="BE79" s="8"/>
      <c r="BF79" s="8"/>
      <c r="BJ79" s="8"/>
      <c r="BK79" s="8"/>
      <c r="BL79" s="627"/>
      <c r="BM79" s="619"/>
    </row>
    <row r="80" spans="1:65">
      <c r="A80" s="619"/>
      <c r="B80" s="617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19"/>
      <c r="AI80" s="8"/>
      <c r="AJ80" s="8"/>
      <c r="AK80" s="8"/>
      <c r="AL80" s="8"/>
      <c r="BJ80" s="8"/>
      <c r="BK80" s="8"/>
      <c r="BL80" s="627"/>
      <c r="BM80" s="619"/>
    </row>
    <row r="81" spans="1:65" ht="8.25" customHeight="1">
      <c r="A81" s="619"/>
      <c r="B81" s="1256"/>
      <c r="C81" s="1256"/>
      <c r="D81" s="1256"/>
      <c r="E81" s="1256"/>
      <c r="F81" s="1256"/>
      <c r="G81" s="1256"/>
      <c r="H81" s="1256"/>
      <c r="I81" s="1256"/>
      <c r="J81" s="1256"/>
      <c r="K81" s="1256"/>
      <c r="L81" s="1256"/>
      <c r="M81" s="1256"/>
      <c r="N81" s="1256"/>
      <c r="O81" s="1256"/>
      <c r="P81" s="1256"/>
      <c r="Q81" s="1256"/>
      <c r="R81" s="1256"/>
      <c r="S81" s="1256"/>
      <c r="T81" s="1256"/>
      <c r="U81" s="1256"/>
      <c r="V81" s="1256"/>
      <c r="W81" s="1256"/>
      <c r="X81" s="1256"/>
      <c r="Y81" s="1256"/>
      <c r="Z81" s="1256"/>
      <c r="AA81" s="1256"/>
      <c r="AB81" s="1256"/>
      <c r="AC81" s="1256"/>
      <c r="AD81" s="1256"/>
      <c r="AE81" s="1256"/>
      <c r="AF81" s="1256"/>
      <c r="AG81" s="1256"/>
      <c r="AH81" s="1256"/>
      <c r="AI81" s="1256"/>
      <c r="AJ81" s="1256"/>
      <c r="AK81" s="1256"/>
      <c r="AL81" s="1256"/>
      <c r="AM81" s="1256"/>
      <c r="AN81" s="1256"/>
      <c r="AO81" s="1256"/>
      <c r="AP81" s="1256"/>
      <c r="AQ81" s="1256"/>
      <c r="AR81" s="1256"/>
      <c r="AS81" s="1256"/>
      <c r="AT81" s="1256"/>
      <c r="AU81" s="1256"/>
      <c r="AV81" s="1256"/>
      <c r="AW81" s="1256"/>
      <c r="AX81" s="1256"/>
      <c r="AY81" s="1256"/>
      <c r="AZ81" s="1256"/>
      <c r="BA81" s="1256"/>
      <c r="BB81" s="1256"/>
      <c r="BC81" s="1256"/>
      <c r="BD81" s="1256"/>
      <c r="BE81" s="1256"/>
      <c r="BF81" s="1256"/>
      <c r="BG81" s="1256"/>
      <c r="BH81" s="1256"/>
      <c r="BI81" s="1256"/>
      <c r="BJ81" s="1256"/>
      <c r="BK81" s="1256"/>
      <c r="BL81" s="1256"/>
      <c r="BM81" s="619"/>
    </row>
    <row r="82" spans="1:65"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57"/>
      <c r="AG82" s="57"/>
      <c r="AH82" s="8"/>
      <c r="AI82" s="8"/>
      <c r="AJ82" s="8"/>
      <c r="AK82" s="8"/>
      <c r="AL82" s="8"/>
      <c r="BJ82" s="8"/>
      <c r="BK82" s="8"/>
      <c r="BL82" s="8"/>
      <c r="BM82" s="8"/>
    </row>
    <row r="83" spans="1:65"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57"/>
      <c r="AG83" s="57"/>
      <c r="AH83" s="8"/>
      <c r="AI83" s="8"/>
      <c r="AJ83" s="8"/>
      <c r="AK83" s="8"/>
      <c r="AL83" s="8"/>
      <c r="BJ83" s="8"/>
      <c r="BK83" s="8"/>
      <c r="BL83" s="8"/>
      <c r="BM83" s="8"/>
    </row>
    <row r="84" spans="1:65">
      <c r="B84" s="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8"/>
      <c r="AI84" s="8"/>
      <c r="AJ84" s="8"/>
      <c r="AK84" s="8"/>
      <c r="AL84" s="8"/>
      <c r="AM84" s="8"/>
      <c r="AN84" s="8"/>
      <c r="AO84" s="79"/>
      <c r="AP84" s="8"/>
      <c r="AQ84" s="8"/>
      <c r="AR84" s="8"/>
      <c r="AS84" s="8"/>
      <c r="AT84" s="79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1:65"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57"/>
      <c r="AF85" s="57"/>
      <c r="AG85" s="57"/>
      <c r="AH85" s="8"/>
      <c r="AI85" s="8"/>
      <c r="AJ85" s="8"/>
      <c r="AK85" s="8"/>
      <c r="AL85" s="8"/>
      <c r="AM85" s="8"/>
      <c r="AN85" s="8"/>
      <c r="AO85" s="79"/>
      <c r="AP85" s="8"/>
      <c r="AQ85" s="8"/>
      <c r="AR85" s="8"/>
      <c r="AS85" s="8"/>
      <c r="AT85" s="79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1:65"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57"/>
      <c r="AF86" s="57"/>
      <c r="AG86" s="57"/>
      <c r="AH86" s="8"/>
      <c r="AI86" s="8"/>
      <c r="AJ86" s="8"/>
      <c r="AK86" s="8"/>
      <c r="AL86" s="8"/>
      <c r="AM86" s="8"/>
      <c r="AN86" s="8"/>
      <c r="AO86" s="79"/>
      <c r="AP86" s="8"/>
      <c r="AQ86" s="8"/>
      <c r="AR86" s="8"/>
      <c r="AS86" s="8"/>
      <c r="AT86" s="79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1:65"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57"/>
      <c r="AF87" s="57"/>
      <c r="AG87" s="57"/>
      <c r="AH87" s="8"/>
      <c r="AI87" s="8"/>
      <c r="AJ87" s="8"/>
      <c r="AK87" s="8"/>
      <c r="AL87" s="8"/>
      <c r="AM87" s="8"/>
      <c r="AN87" s="8"/>
      <c r="AO87" s="79"/>
      <c r="AP87" s="8"/>
      <c r="AQ87" s="8"/>
      <c r="AR87" s="8"/>
      <c r="AS87" s="8"/>
      <c r="AT87" s="79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57"/>
      <c r="AF88" s="57"/>
      <c r="AG88" s="57"/>
      <c r="AH88" s="8"/>
      <c r="AI88" s="8"/>
      <c r="AJ88" s="8"/>
      <c r="AK88" s="8"/>
      <c r="AL88" s="8"/>
      <c r="AM88" s="8"/>
      <c r="AN88" s="8"/>
      <c r="AO88" s="79"/>
      <c r="AP88" s="8"/>
      <c r="AQ88" s="8"/>
      <c r="AR88" s="8"/>
      <c r="AS88" s="8"/>
      <c r="AT88" s="79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1:65"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</row>
  </sheetData>
  <sheetProtection sheet="1" objects="1" scenarios="1"/>
  <mergeCells count="181">
    <mergeCell ref="C60:O63"/>
    <mergeCell ref="P60:AG63"/>
    <mergeCell ref="AJ57:AV57"/>
    <mergeCell ref="AJ51:BF51"/>
    <mergeCell ref="Z54:AG54"/>
    <mergeCell ref="Z53:AG53"/>
    <mergeCell ref="N51:T51"/>
    <mergeCell ref="Z52:AF52"/>
    <mergeCell ref="Z43:AG43"/>
    <mergeCell ref="AJ52:BF52"/>
    <mergeCell ref="AI61:BK63"/>
    <mergeCell ref="AJ42:BF42"/>
    <mergeCell ref="AJ44:BF44"/>
    <mergeCell ref="AJ43:BF43"/>
    <mergeCell ref="AJ45:BF45"/>
    <mergeCell ref="AJ46:BF46"/>
    <mergeCell ref="AJ56:AV56"/>
    <mergeCell ref="AJ54:BF54"/>
    <mergeCell ref="BG54:BK54"/>
    <mergeCell ref="N43:T43"/>
    <mergeCell ref="BL12:BL24"/>
    <mergeCell ref="AJ58:AV58"/>
    <mergeCell ref="B16:D16"/>
    <mergeCell ref="M16:T16"/>
    <mergeCell ref="AZ14:BG14"/>
    <mergeCell ref="N21:T21"/>
    <mergeCell ref="AJ47:BF47"/>
    <mergeCell ref="BG46:BK46"/>
    <mergeCell ref="BG47:BK47"/>
    <mergeCell ref="BG48:BK48"/>
    <mergeCell ref="AP39:AQ39"/>
    <mergeCell ref="AZ39:BG39"/>
    <mergeCell ref="AJ41:BK41"/>
    <mergeCell ref="BL41:BL51"/>
    <mergeCell ref="BL34:BL39"/>
    <mergeCell ref="BL26:BL32"/>
    <mergeCell ref="BG49:BK49"/>
    <mergeCell ref="N44:T44"/>
    <mergeCell ref="Z44:AG44"/>
    <mergeCell ref="Z46:AG46"/>
    <mergeCell ref="Z45:AG45"/>
    <mergeCell ref="B42:M42"/>
    <mergeCell ref="B24:I24"/>
    <mergeCell ref="N50:T50"/>
    <mergeCell ref="AU71:BA71"/>
    <mergeCell ref="BB65:BF65"/>
    <mergeCell ref="AI65:BA65"/>
    <mergeCell ref="BF31:BK31"/>
    <mergeCell ref="AY28:BD28"/>
    <mergeCell ref="AJ76:AY76"/>
    <mergeCell ref="AI71:AM71"/>
    <mergeCell ref="AN71:AP71"/>
    <mergeCell ref="AQ71:AT71"/>
    <mergeCell ref="AI67:AZ68"/>
    <mergeCell ref="BB71:BK71"/>
    <mergeCell ref="BA67:BK68"/>
    <mergeCell ref="N38:T38"/>
    <mergeCell ref="AP38:AQ38"/>
    <mergeCell ref="AI19:AI24"/>
    <mergeCell ref="Z38:AG38"/>
    <mergeCell ref="N37:T37"/>
    <mergeCell ref="AZ20:BG20"/>
    <mergeCell ref="AZ38:BG38"/>
    <mergeCell ref="Z39:AG39"/>
    <mergeCell ref="Z24:AG24"/>
    <mergeCell ref="Z22:AG22"/>
    <mergeCell ref="AP17:AR17"/>
    <mergeCell ref="AQ3:AS3"/>
    <mergeCell ref="Z17:AH17"/>
    <mergeCell ref="AQ5:AS5"/>
    <mergeCell ref="P3:R3"/>
    <mergeCell ref="S3:V3"/>
    <mergeCell ref="Z15:AH15"/>
    <mergeCell ref="AT2:AW2"/>
    <mergeCell ref="AG2:AI2"/>
    <mergeCell ref="AM2:AP2"/>
    <mergeCell ref="AD2:AF2"/>
    <mergeCell ref="AJ2:AL2"/>
    <mergeCell ref="AQ2:AS2"/>
    <mergeCell ref="Z2:AC2"/>
    <mergeCell ref="W2:Y2"/>
    <mergeCell ref="Z16:AH16"/>
    <mergeCell ref="AD4:AF4"/>
    <mergeCell ref="AJ4:AL4"/>
    <mergeCell ref="AT4:AW4"/>
    <mergeCell ref="W4:Y4"/>
    <mergeCell ref="AO14:AQ14"/>
    <mergeCell ref="W5:Y5"/>
    <mergeCell ref="AD5:AF5"/>
    <mergeCell ref="W3:Y3"/>
    <mergeCell ref="AY27:BD27"/>
    <mergeCell ref="B23:D23"/>
    <mergeCell ref="B5:J5"/>
    <mergeCell ref="P5:R5"/>
    <mergeCell ref="B4:J4"/>
    <mergeCell ref="S5:V5"/>
    <mergeCell ref="P4:R4"/>
    <mergeCell ref="K4:O4"/>
    <mergeCell ref="S4:V4"/>
    <mergeCell ref="M14:T14"/>
    <mergeCell ref="N23:T23"/>
    <mergeCell ref="M15:T15"/>
    <mergeCell ref="N22:T22"/>
    <mergeCell ref="R9:AA9"/>
    <mergeCell ref="B9:Q9"/>
    <mergeCell ref="B7:AA7"/>
    <mergeCell ref="AR7:AW7"/>
    <mergeCell ref="AI12:AI17"/>
    <mergeCell ref="AI9:AK9"/>
    <mergeCell ref="AM5:AP5"/>
    <mergeCell ref="AJ5:AL5"/>
    <mergeCell ref="AM4:AP4"/>
    <mergeCell ref="AL9:AU9"/>
    <mergeCell ref="AG4:AI4"/>
    <mergeCell ref="N36:T36"/>
    <mergeCell ref="N42:T42"/>
    <mergeCell ref="B81:BL81"/>
    <mergeCell ref="AD49:AF49"/>
    <mergeCell ref="AP36:AQ36"/>
    <mergeCell ref="Z28:AG28"/>
    <mergeCell ref="BG50:BK50"/>
    <mergeCell ref="Z30:AG30"/>
    <mergeCell ref="AT29:AV29"/>
    <mergeCell ref="Z40:AG40"/>
    <mergeCell ref="Z51:AF51"/>
    <mergeCell ref="BG42:BK42"/>
    <mergeCell ref="BG43:BK43"/>
    <mergeCell ref="BG44:BK44"/>
    <mergeCell ref="BG45:BK45"/>
    <mergeCell ref="B52:D52"/>
    <mergeCell ref="N52:T52"/>
    <mergeCell ref="AJ48:BF48"/>
    <mergeCell ref="BG51:BK52"/>
    <mergeCell ref="W49:AC49"/>
    <mergeCell ref="B56:AI56"/>
    <mergeCell ref="AJ49:BF49"/>
    <mergeCell ref="AJ50:BF50"/>
    <mergeCell ref="I44:K44"/>
    <mergeCell ref="B1:BL1"/>
    <mergeCell ref="Z5:AC5"/>
    <mergeCell ref="AG5:AI5"/>
    <mergeCell ref="AG3:AI3"/>
    <mergeCell ref="Z4:AC4"/>
    <mergeCell ref="AQ4:AS4"/>
    <mergeCell ref="K5:O5"/>
    <mergeCell ref="S2:V2"/>
    <mergeCell ref="B2:J2"/>
    <mergeCell ref="K2:O2"/>
    <mergeCell ref="B3:J3"/>
    <mergeCell ref="K3:O3"/>
    <mergeCell ref="P2:R2"/>
    <mergeCell ref="AT3:AW3"/>
    <mergeCell ref="AM3:AP3"/>
    <mergeCell ref="AJ3:AL3"/>
    <mergeCell ref="AD3:AF3"/>
    <mergeCell ref="Z3:AC3"/>
    <mergeCell ref="AT5:AW5"/>
    <mergeCell ref="AZ15:BG15"/>
    <mergeCell ref="AT30:AV30"/>
    <mergeCell ref="AY30:BD30"/>
    <mergeCell ref="AY29:BD29"/>
    <mergeCell ref="AZ17:BG17"/>
    <mergeCell ref="AZ18:BG19"/>
    <mergeCell ref="B31:D31"/>
    <mergeCell ref="B38:D38"/>
    <mergeCell ref="N29:T29"/>
    <mergeCell ref="AZ36:BG36"/>
    <mergeCell ref="BF28:BK28"/>
    <mergeCell ref="AJ18:AW19"/>
    <mergeCell ref="AZ22:BG22"/>
    <mergeCell ref="Z37:AG37"/>
    <mergeCell ref="BF29:BK29"/>
    <mergeCell ref="BF30:BK30"/>
    <mergeCell ref="AP37:AQ37"/>
    <mergeCell ref="AZ37:BG37"/>
    <mergeCell ref="N31:T31"/>
    <mergeCell ref="N30:T30"/>
    <mergeCell ref="Z23:AG23"/>
    <mergeCell ref="Z27:AG27"/>
    <mergeCell ref="Z32:AG32"/>
    <mergeCell ref="Z31:AG31"/>
  </mergeCells>
  <phoneticPr fontId="0" type="noConversion"/>
  <printOptions horizontalCentered="1"/>
  <pageMargins left="0" right="0.82677165354330717" top="0" bottom="0" header="0" footer="0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W107"/>
  <sheetViews>
    <sheetView zoomScale="115" workbookViewId="0">
      <selection activeCell="BZ27" sqref="BZ27"/>
    </sheetView>
  </sheetViews>
  <sheetFormatPr baseColWidth="10" defaultColWidth="9.140625" defaultRowHeight="12.75"/>
  <cols>
    <col min="1" max="52" width="1.7109375" customWidth="1"/>
    <col min="53" max="54" width="11.42578125" customWidth="1"/>
    <col min="55" max="74" width="11.42578125" hidden="1" customWidth="1"/>
    <col min="75" max="75" width="0" hidden="1" customWidth="1"/>
    <col min="76" max="256" width="11.42578125" customWidth="1"/>
  </cols>
  <sheetData>
    <row r="1" spans="1:75"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</row>
    <row r="8" spans="1:75" ht="15.75">
      <c r="W8" s="1385" t="s">
        <v>273</v>
      </c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</row>
    <row r="9" spans="1:75">
      <c r="H9" s="1386" t="s">
        <v>274</v>
      </c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1386"/>
      <c r="Y9" s="1386"/>
      <c r="Z9" s="1386"/>
      <c r="AA9" s="1386"/>
      <c r="AB9" s="1386"/>
      <c r="AC9" s="1386"/>
      <c r="AD9" s="1386"/>
      <c r="AE9" s="1386"/>
      <c r="AF9" s="1386"/>
      <c r="AG9" s="1386"/>
      <c r="AH9" s="1386"/>
      <c r="AI9" s="1386"/>
      <c r="AJ9" s="1386"/>
      <c r="AK9" s="1386"/>
      <c r="AL9" s="1386"/>
      <c r="AM9" s="1386"/>
      <c r="AN9" s="1386"/>
      <c r="AO9" s="1386"/>
      <c r="AP9" s="1386"/>
      <c r="AQ9" s="1386"/>
      <c r="AR9" s="1386"/>
      <c r="AS9" s="1386"/>
      <c r="AT9" s="1386"/>
      <c r="AU9" s="1386"/>
      <c r="AV9" s="1386"/>
      <c r="AW9" s="1386"/>
    </row>
    <row r="10" spans="1:75" ht="6.75" customHeight="1">
      <c r="A10" s="245"/>
    </row>
    <row r="11" spans="1:75" ht="15.75">
      <c r="S11" s="1387" t="s">
        <v>275</v>
      </c>
      <c r="T11" s="1387"/>
      <c r="U11" s="1387"/>
      <c r="V11" s="1387"/>
      <c r="W11" s="1387"/>
      <c r="X11" s="1387"/>
      <c r="Y11" s="1387"/>
      <c r="Z11" s="1387"/>
      <c r="AA11" s="1387"/>
      <c r="AB11" s="1387"/>
      <c r="AC11" s="1387"/>
      <c r="AD11" s="1387"/>
      <c r="AE11" s="1387"/>
      <c r="AF11" s="1387"/>
      <c r="AG11" s="1387"/>
      <c r="AH11" s="1387"/>
      <c r="AI11" s="1387"/>
      <c r="AJ11" s="1387"/>
      <c r="AK11" s="1387"/>
    </row>
    <row r="12" spans="1:75" ht="4.5" customHeight="1">
      <c r="A12" s="246"/>
    </row>
    <row r="13" spans="1:75" s="247" customFormat="1" ht="15.75">
      <c r="S13" s="1386" t="s">
        <v>299</v>
      </c>
      <c r="T13" s="1386"/>
      <c r="U13" s="1386"/>
      <c r="V13" s="1386"/>
      <c r="W13" s="1386"/>
      <c r="X13" s="1386"/>
      <c r="Y13" s="1386"/>
      <c r="Z13" s="1386"/>
      <c r="AA13" s="1386"/>
      <c r="AB13" s="1386"/>
      <c r="AC13" s="1386"/>
      <c r="AD13" s="1386"/>
      <c r="AE13" s="1386"/>
      <c r="AF13" s="1385">
        <f>DATOS!$L$146</f>
        <v>0</v>
      </c>
      <c r="AG13" s="1385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</row>
    <row r="14" spans="1:75" ht="9.75" customHeight="1">
      <c r="A14" s="248"/>
    </row>
    <row r="15" spans="1:75" ht="6.75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1"/>
    </row>
    <row r="16" spans="1:75">
      <c r="A16" s="252" t="s">
        <v>309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Y16" s="1391" t="str">
        <f>DATOS!$G$5</f>
        <v>#</v>
      </c>
      <c r="Z16" s="1391"/>
      <c r="AA16" s="1391"/>
      <c r="AB16" s="1391"/>
      <c r="AC16" s="1391"/>
      <c r="AD16" s="1391"/>
      <c r="AE16" s="1391"/>
      <c r="AF16" s="1391"/>
      <c r="AG16" s="1391"/>
      <c r="AH16" s="1391"/>
      <c r="AI16" s="1391"/>
      <c r="AJ16" s="1391"/>
      <c r="AK16" s="1391"/>
      <c r="AL16" s="1391"/>
      <c r="AM16" s="1391"/>
      <c r="AN16" s="1391"/>
      <c r="AO16" s="1391"/>
      <c r="AP16" s="1391"/>
      <c r="AQ16" s="1391"/>
      <c r="AR16" s="1391"/>
      <c r="AS16" s="253"/>
      <c r="AT16" s="253"/>
      <c r="AU16" s="253"/>
      <c r="AV16" s="253"/>
      <c r="AW16" s="253"/>
      <c r="AX16" s="253"/>
      <c r="AY16" s="254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</row>
    <row r="17" spans="1:75" ht="8.25" customHeight="1">
      <c r="A17" s="252" t="s">
        <v>39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4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83"/>
      <c r="BW17" s="253"/>
    </row>
    <row r="18" spans="1:75">
      <c r="A18" s="252" t="s">
        <v>307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1396" t="str">
        <f>DATOS!$G$18</f>
        <v>#</v>
      </c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6"/>
      <c r="AI18" s="1396"/>
      <c r="AJ18" s="1396"/>
      <c r="AK18" s="1396"/>
      <c r="AL18" s="1396"/>
      <c r="AM18" s="1396"/>
      <c r="AN18" s="1396"/>
      <c r="AO18" s="1396"/>
      <c r="AP18" s="1396"/>
      <c r="AQ18" s="1396"/>
      <c r="AR18" s="1396"/>
      <c r="AS18" s="1396"/>
      <c r="AT18" s="1396"/>
      <c r="AU18" s="1396"/>
      <c r="AV18" s="1396"/>
      <c r="AW18" s="1396"/>
      <c r="AX18" s="1396"/>
      <c r="AY18" s="254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83"/>
      <c r="BW18" s="253"/>
    </row>
    <row r="19" spans="1:75" ht="6.75" customHeight="1">
      <c r="A19" s="255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4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</row>
    <row r="20" spans="1:75">
      <c r="A20" s="252" t="s">
        <v>308</v>
      </c>
      <c r="B20" s="253"/>
      <c r="C20" s="253"/>
      <c r="D20" s="253"/>
      <c r="E20" s="253"/>
      <c r="F20" s="253"/>
      <c r="G20" s="253"/>
      <c r="H20" s="1396" t="str">
        <f>DATOS!$G$27</f>
        <v>#</v>
      </c>
      <c r="I20" s="1396"/>
      <c r="J20" s="1396"/>
      <c r="K20" s="1396"/>
      <c r="L20" s="1396"/>
      <c r="M20" s="1396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1396"/>
      <c r="AI20" s="1396"/>
      <c r="AJ20" s="1396"/>
      <c r="AK20" s="1396"/>
      <c r="AL20" s="1396"/>
      <c r="AM20" s="1396"/>
      <c r="AN20" s="1396"/>
      <c r="AO20" s="1396"/>
      <c r="AP20" s="1396"/>
      <c r="AQ20" s="1396"/>
      <c r="AR20" s="1396"/>
      <c r="AS20" s="1396"/>
      <c r="AT20" s="1396"/>
      <c r="AU20" s="1396"/>
      <c r="AV20" s="1396"/>
      <c r="AW20" s="1396"/>
      <c r="AX20" s="1396"/>
      <c r="AY20" s="254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</row>
    <row r="21" spans="1:75" ht="7.5" customHeight="1">
      <c r="A21" s="256" t="s">
        <v>39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8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</row>
    <row r="22" spans="1:75">
      <c r="A22" s="246"/>
    </row>
    <row r="23" spans="1:75">
      <c r="A23" s="259" t="s">
        <v>276</v>
      </c>
    </row>
    <row r="24" spans="1:75" ht="6.75" customHeight="1">
      <c r="A24" s="260"/>
    </row>
    <row r="25" spans="1:75" s="265" customFormat="1" ht="12" customHeight="1">
      <c r="A25" s="261" t="s">
        <v>277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331" t="s">
        <v>278</v>
      </c>
      <c r="Z25" s="262"/>
      <c r="AA25" s="262"/>
      <c r="AB25" s="262"/>
      <c r="AC25" s="262"/>
      <c r="AD25" s="262"/>
      <c r="AE25" s="331" t="s">
        <v>279</v>
      </c>
      <c r="AF25" s="262"/>
      <c r="AG25" s="262"/>
      <c r="AH25" s="263"/>
      <c r="AI25" s="262"/>
      <c r="AJ25" s="264" t="s">
        <v>280</v>
      </c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3"/>
      <c r="BD25" s="4"/>
      <c r="BE25" s="46" t="s">
        <v>71</v>
      </c>
      <c r="BF25" s="4"/>
      <c r="BG25" s="4"/>
      <c r="BH25" s="4"/>
      <c r="BI25" s="4"/>
    </row>
    <row r="26" spans="1:75" s="96" customFormat="1">
      <c r="A26" s="1392"/>
      <c r="B26" s="1393"/>
      <c r="C26" s="1393"/>
      <c r="D26" s="1393"/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409">
        <v>0</v>
      </c>
      <c r="Z26" s="1410"/>
      <c r="AA26" s="1410"/>
      <c r="AB26" s="1410"/>
      <c r="AC26" s="1410"/>
      <c r="AD26" s="1411"/>
      <c r="AE26" s="1388" t="s">
        <v>70</v>
      </c>
      <c r="AF26" s="1389"/>
      <c r="AG26" s="1389"/>
      <c r="AH26" s="1390"/>
      <c r="AI26" s="810" t="s">
        <v>281</v>
      </c>
      <c r="AJ26" s="811"/>
      <c r="AK26" s="811"/>
      <c r="AL26" s="811"/>
      <c r="AM26" s="811"/>
      <c r="AN26" s="811"/>
      <c r="AO26" s="811"/>
      <c r="AP26" s="812"/>
      <c r="AQ26" s="1398" t="s">
        <v>645</v>
      </c>
      <c r="AR26" s="1398"/>
      <c r="AS26" s="1398"/>
      <c r="AT26" s="1398"/>
      <c r="AU26" s="1398"/>
      <c r="AV26" s="1398"/>
      <c r="AW26" s="1398"/>
      <c r="AX26" s="1398"/>
      <c r="AY26" s="1398"/>
      <c r="BD26" s="46" t="s">
        <v>73</v>
      </c>
      <c r="BE26" s="46" t="s">
        <v>74</v>
      </c>
      <c r="BF26" s="46" t="s">
        <v>75</v>
      </c>
      <c r="BG26" s="46" t="s">
        <v>76</v>
      </c>
      <c r="BH26" s="46" t="s">
        <v>77</v>
      </c>
      <c r="BI26" s="46" t="s">
        <v>78</v>
      </c>
    </row>
    <row r="27" spans="1:75" s="96" customFormat="1" ht="12.75" customHeight="1">
      <c r="A27" s="1392"/>
      <c r="B27" s="1393"/>
      <c r="C27" s="1393"/>
      <c r="D27" s="1393"/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78">
        <v>0</v>
      </c>
      <c r="Z27" s="1379"/>
      <c r="AA27" s="1379"/>
      <c r="AB27" s="1379"/>
      <c r="AC27" s="1379"/>
      <c r="AD27" s="1380"/>
      <c r="AE27" s="1388" t="s">
        <v>300</v>
      </c>
      <c r="AF27" s="1389"/>
      <c r="AG27" s="1389"/>
      <c r="AH27" s="1390"/>
      <c r="AI27" s="810" t="s">
        <v>282</v>
      </c>
      <c r="AJ27" s="811"/>
      <c r="AK27" s="811"/>
      <c r="AL27" s="811"/>
      <c r="AM27" s="811"/>
      <c r="AN27" s="811"/>
      <c r="AO27" s="811"/>
      <c r="AP27" s="812"/>
      <c r="AQ27" s="1397"/>
      <c r="AR27" s="1397"/>
      <c r="AS27" s="1397"/>
      <c r="AT27" s="1397"/>
      <c r="AU27" s="1397"/>
      <c r="AV27" s="1397"/>
      <c r="AW27" s="1397"/>
      <c r="AX27" s="1397"/>
      <c r="AY27" s="1397"/>
      <c r="BD27" s="47" t="s">
        <v>80</v>
      </c>
      <c r="BE27">
        <f>IF(AND($J$36&lt;=5,$AF$37&lt;=5),1.3,BF27)</f>
        <v>1.3</v>
      </c>
      <c r="BF27">
        <f>IF(AND($J$36&lt;=5,$AF$37&lt;=11),1.48,BG27)</f>
        <v>1.48</v>
      </c>
      <c r="BG27">
        <f>IF(AND($J$36&lt;=5,$AF$37&lt;=20),1.59,BH27)</f>
        <v>1.59</v>
      </c>
      <c r="BH27">
        <f>IF(AND($J$36&lt;=5,$AF$37&lt;=50),1.65,BI27)</f>
        <v>1.65</v>
      </c>
      <c r="BI27">
        <f>IF(AND($J$36&lt;=5,$AF$37&gt;50),1.69,BE28)</f>
        <v>1.28</v>
      </c>
    </row>
    <row r="28" spans="1:75" s="96" customFormat="1">
      <c r="A28" s="1392"/>
      <c r="B28" s="1393"/>
      <c r="C28" s="1393"/>
      <c r="D28" s="1393"/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78">
        <v>0</v>
      </c>
      <c r="Z28" s="1379"/>
      <c r="AA28" s="1379"/>
      <c r="AB28" s="1379"/>
      <c r="AC28" s="1379"/>
      <c r="AD28" s="1380"/>
      <c r="AE28" s="1402" t="s">
        <v>301</v>
      </c>
      <c r="AF28" s="1403"/>
      <c r="AG28" s="1403"/>
      <c r="AH28" s="1404"/>
      <c r="AI28" s="267" t="s">
        <v>302</v>
      </c>
      <c r="AJ28" s="267"/>
      <c r="AK28" s="267"/>
      <c r="AL28" s="267"/>
      <c r="AM28" s="267"/>
      <c r="AN28" s="267"/>
      <c r="AO28" s="267"/>
      <c r="AP28" s="267"/>
      <c r="AQ28" s="1399" t="s">
        <v>303</v>
      </c>
      <c r="AR28" s="1400"/>
      <c r="AS28" s="1400"/>
      <c r="AT28" s="1400"/>
      <c r="AU28" s="1400"/>
      <c r="AV28" s="1400"/>
      <c r="AW28" s="1400"/>
      <c r="AX28" s="1400"/>
      <c r="AY28" s="1401"/>
      <c r="BD28" s="48" t="s">
        <v>82</v>
      </c>
      <c r="BE28">
        <f>IF(AND($J$36&lt;=10,$AF$37&lt;=5),1.28,BF28)</f>
        <v>1.28</v>
      </c>
      <c r="BF28">
        <f>IF(AND($J$36&lt;=10,$AF$37&lt;=11),1.46,BG28)</f>
        <v>1.46</v>
      </c>
      <c r="BG28">
        <f>IF(AND($J$36&lt;=10,$AF$37&lt;=20),1.56,BH28)</f>
        <v>1.56</v>
      </c>
      <c r="BH28">
        <f>IF(AND($J$36&lt;=10,$AF$37&lt;=50),1.62,BI28)</f>
        <v>1.62</v>
      </c>
      <c r="BI28">
        <f>IF(AND($J$36&lt;=10,$D$56&gt;50),1.66,BE29)</f>
        <v>1.25</v>
      </c>
    </row>
    <row r="29" spans="1:75" s="96" customFormat="1">
      <c r="A29" s="1392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412" t="s">
        <v>646</v>
      </c>
      <c r="Z29" s="1413"/>
      <c r="AA29" s="1413"/>
      <c r="AB29" s="1413"/>
      <c r="AC29" s="1413"/>
      <c r="AD29" s="1413"/>
      <c r="AE29" s="1413"/>
      <c r="AF29" s="1413"/>
      <c r="AG29" s="1413"/>
      <c r="AH29" s="1413"/>
      <c r="AI29" s="1413"/>
      <c r="AJ29" s="1413"/>
      <c r="AK29" s="1413"/>
      <c r="AL29" s="1413"/>
      <c r="AM29" s="1413"/>
      <c r="AN29" s="1413"/>
      <c r="AO29" s="1413"/>
      <c r="AP29" s="1413"/>
      <c r="AQ29" s="1413"/>
      <c r="AR29" s="1413"/>
      <c r="AS29" s="1413"/>
      <c r="AT29" s="1413"/>
      <c r="AU29" s="1413"/>
      <c r="AV29" s="1413"/>
      <c r="AW29" s="1413"/>
      <c r="AX29" s="1413"/>
      <c r="AY29" s="1414"/>
      <c r="BD29" s="48" t="s">
        <v>84</v>
      </c>
      <c r="BE29">
        <f>IF(AND($J$36&lt;=50,$AF$37&lt;=5),1.25,BF29)</f>
        <v>1.25</v>
      </c>
      <c r="BF29">
        <f>IF(AND($J$36&lt;=50,$AF$37&lt;=11),1.43,BG29)</f>
        <v>1.43</v>
      </c>
      <c r="BG29">
        <f>IF(AND($J$36&lt;=50,$AF$37&lt;=20),1.53,BH29)</f>
        <v>1.53</v>
      </c>
      <c r="BH29">
        <f>IF(AND($J$36&lt;=50,$AF$37&lt;=50),1.59,BI29)</f>
        <v>1.59</v>
      </c>
      <c r="BI29">
        <f>IF(AND($J$36&lt;=50,$AF$37&gt;50),1.63,BE30)</f>
        <v>1.21</v>
      </c>
    </row>
    <row r="30" spans="1:75" s="96" customFormat="1">
      <c r="A30" s="1394"/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5"/>
      <c r="X30" s="1395"/>
      <c r="Y30" s="1415"/>
      <c r="Z30" s="1416"/>
      <c r="AA30" s="1416"/>
      <c r="AB30" s="1416"/>
      <c r="AC30" s="1416"/>
      <c r="AD30" s="1416"/>
      <c r="AE30" s="1416"/>
      <c r="AF30" s="1416"/>
      <c r="AG30" s="1416"/>
      <c r="AH30" s="1416"/>
      <c r="AI30" s="1416"/>
      <c r="AJ30" s="1416"/>
      <c r="AK30" s="1416"/>
      <c r="AL30" s="1416"/>
      <c r="AM30" s="1416"/>
      <c r="AN30" s="1416"/>
      <c r="AO30" s="1416"/>
      <c r="AP30" s="1416"/>
      <c r="AQ30" s="1416"/>
      <c r="AR30" s="1416"/>
      <c r="AS30" s="1416"/>
      <c r="AT30" s="1416"/>
      <c r="AU30" s="1416"/>
      <c r="AV30" s="1416"/>
      <c r="AW30" s="1416"/>
      <c r="AX30" s="1416"/>
      <c r="AY30" s="1417"/>
      <c r="BD30" s="48" t="s">
        <v>86</v>
      </c>
      <c r="BE30">
        <f>IF(AND($J$36&lt;=100,$AF$37&lt;=5),1.21,BF30)</f>
        <v>1.21</v>
      </c>
      <c r="BF30">
        <f>IF(AND($J$36&lt;=100,$AF$37&lt;=11),1.38,BG30)</f>
        <v>1.38</v>
      </c>
      <c r="BG30">
        <f>IF(AND($J$36&lt;=100,$AF$37&lt;=20),1.48,BH30)</f>
        <v>1.48</v>
      </c>
      <c r="BH30">
        <f>IF(AND($J$36&lt;=100,$AF$37&lt;=50),1.54,BI30)</f>
        <v>1.54</v>
      </c>
      <c r="BI30">
        <f>IF(AND($J$36&lt;=100,$AF$37&gt;50),1.58,BE31)</f>
        <v>1.1599999999999999</v>
      </c>
    </row>
    <row r="31" spans="1:75" s="96" customFormat="1">
      <c r="A31" s="271"/>
      <c r="BD31" s="48" t="s">
        <v>87</v>
      </c>
      <c r="BE31">
        <f>IF(AND($J$36&lt;=200,$AF$37&lt;=5),1.16,BF31)</f>
        <v>1.1599999999999999</v>
      </c>
      <c r="BF31">
        <f>IF(AND($J$36&lt;=200,$AF$37&lt;=11),1.32,BG31)</f>
        <v>1.32</v>
      </c>
      <c r="BG31">
        <f>IF(AND($J$36&lt;=200,$AF$37&lt;=20),1.41,BH31)</f>
        <v>1.41</v>
      </c>
      <c r="BH31">
        <f>IF(AND($J$36&lt;=200,$AF$37&lt;=50),1.47,BI31)</f>
        <v>1.47</v>
      </c>
      <c r="BI31">
        <f>IF(AND($J$36&lt;=200,$AF$37&gt;50),1.51,BE32)</f>
        <v>1.0900000000000001</v>
      </c>
    </row>
    <row r="32" spans="1:75" s="265" customFormat="1">
      <c r="A32" s="272" t="s">
        <v>283</v>
      </c>
      <c r="BD32" s="48" t="s">
        <v>88</v>
      </c>
      <c r="BE32">
        <f>IF(AND($J$36&lt;=500,$AF$37&lt;=5),1.09,BF32)</f>
        <v>1.0900000000000001</v>
      </c>
      <c r="BF32">
        <f>IF(AND($J$36&lt;=500,$AF$37&lt;=11),1.24,BG32)</f>
        <v>1.24</v>
      </c>
      <c r="BG32">
        <f>IF(AND($J$36&lt;=500,$AF$37&lt;=20),1.33,BH32)</f>
        <v>1.33</v>
      </c>
      <c r="BH32">
        <f>IF(AND($J$36&lt;=500,$AF$37&lt;=50),1.38,BI32)</f>
        <v>1.38</v>
      </c>
      <c r="BI32">
        <f>IF(AND($J$36&lt;=500,$AF$37&gt;50),1.41,BE33)</f>
        <v>0</v>
      </c>
    </row>
    <row r="33" spans="1:61" s="265" customFormat="1" ht="10.5" customHeight="1">
      <c r="A33" s="273"/>
      <c r="BD33" s="48" t="s">
        <v>90</v>
      </c>
      <c r="BE33">
        <f>IF(AND($J$36&gt;500,$AF$37&lt;=5),1,BF33)</f>
        <v>0</v>
      </c>
      <c r="BF33">
        <f>IF(AND($J$36&gt;500,$AF$37&lt;=11),1.14,BG33)</f>
        <v>0</v>
      </c>
      <c r="BG33">
        <f>IF(AND($J$36&gt;500,$AF$37&lt;=20),1.22,BH33)</f>
        <v>0</v>
      </c>
      <c r="BH33">
        <f>IF(AND($J$36&gt;500,$AF$37&lt;=50),1.27,BI33)</f>
        <v>0</v>
      </c>
      <c r="BI33">
        <f>IF(AND($J$36&gt;500,$AF$37&gt;50),1.3,BD25)</f>
        <v>0</v>
      </c>
    </row>
    <row r="34" spans="1:61" s="96" customFormat="1">
      <c r="A34" s="274" t="s">
        <v>284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</row>
    <row r="35" spans="1:61" s="96" customFormat="1" ht="6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</row>
    <row r="36" spans="1:61" s="276" customFormat="1" ht="12.75" customHeight="1">
      <c r="A36" s="1261" t="s">
        <v>11</v>
      </c>
      <c r="B36" s="1261"/>
      <c r="C36" s="1261"/>
      <c r="D36" s="1261"/>
      <c r="E36" s="1261"/>
      <c r="F36" s="1261"/>
      <c r="G36" s="1261"/>
      <c r="H36" s="1261"/>
      <c r="I36" s="1261"/>
      <c r="J36" s="1423">
        <v>0</v>
      </c>
      <c r="K36" s="1423"/>
      <c r="L36" s="1423"/>
      <c r="M36" s="1423"/>
      <c r="N36" s="1423"/>
      <c r="O36" s="1259" t="s">
        <v>12</v>
      </c>
      <c r="P36" s="1259"/>
      <c r="Q36" s="1259"/>
      <c r="R36" s="1259"/>
      <c r="S36" s="1259"/>
      <c r="T36" s="1259"/>
      <c r="U36" s="1259"/>
      <c r="V36" s="1274" t="s">
        <v>13</v>
      </c>
      <c r="W36" s="1275"/>
      <c r="X36" s="1276"/>
      <c r="Y36" s="1262">
        <f>IF(AND($J$36&lt;=5,$AF$37&lt;=5),1.3,$BF$27)</f>
        <v>1.3</v>
      </c>
      <c r="Z36" s="1262"/>
      <c r="AA36" s="1262"/>
      <c r="AB36" s="1262"/>
      <c r="AC36" s="1259" t="s">
        <v>14</v>
      </c>
      <c r="AD36" s="1259"/>
      <c r="AE36" s="1259"/>
      <c r="AF36" s="960"/>
      <c r="AG36" s="960"/>
      <c r="AH36" s="960"/>
      <c r="AI36" s="1259" t="s">
        <v>15</v>
      </c>
      <c r="AJ36" s="1259"/>
      <c r="AK36" s="1259"/>
      <c r="AL36" s="1257">
        <f>DATOS!$F$95</f>
        <v>4640</v>
      </c>
      <c r="AM36" s="1257"/>
      <c r="AN36" s="1257"/>
      <c r="AO36" s="1257"/>
      <c r="AP36" s="1259" t="s">
        <v>16</v>
      </c>
      <c r="AQ36" s="1259"/>
      <c r="AR36" s="1259"/>
      <c r="AS36" s="960"/>
      <c r="AT36" s="960"/>
      <c r="AU36" s="960"/>
      <c r="AV36" s="960"/>
      <c r="BC36" s="830" t="s">
        <v>648</v>
      </c>
    </row>
    <row r="37" spans="1:61" s="96" customFormat="1" ht="15.75">
      <c r="A37" s="1274" t="s">
        <v>17</v>
      </c>
      <c r="B37" s="1275"/>
      <c r="C37" s="1275"/>
      <c r="D37" s="1275"/>
      <c r="E37" s="1275"/>
      <c r="F37" s="1275"/>
      <c r="G37" s="1275"/>
      <c r="H37" s="1275"/>
      <c r="I37" s="1276"/>
      <c r="J37" s="1384">
        <v>1.3</v>
      </c>
      <c r="K37" s="1384"/>
      <c r="L37" s="1384"/>
      <c r="M37" s="1384"/>
      <c r="N37" s="1384"/>
      <c r="O37" s="1259" t="s">
        <v>18</v>
      </c>
      <c r="P37" s="1259"/>
      <c r="Q37" s="1259"/>
      <c r="R37" s="1383">
        <v>0</v>
      </c>
      <c r="S37" s="1383"/>
      <c r="T37" s="1383"/>
      <c r="U37" s="1383"/>
      <c r="V37" s="1274" t="s">
        <v>19</v>
      </c>
      <c r="W37" s="1275"/>
      <c r="X37" s="1276"/>
      <c r="Y37" s="960"/>
      <c r="Z37" s="960"/>
      <c r="AA37" s="960"/>
      <c r="AB37" s="960"/>
      <c r="AC37" s="1259" t="s">
        <v>20</v>
      </c>
      <c r="AD37" s="1259"/>
      <c r="AE37" s="1259"/>
      <c r="AF37" s="1418">
        <v>0</v>
      </c>
      <c r="AG37" s="1418"/>
      <c r="AH37" s="1418"/>
      <c r="AI37" s="1259" t="s">
        <v>21</v>
      </c>
      <c r="AJ37" s="1259"/>
      <c r="AK37" s="1259"/>
      <c r="AL37" s="960"/>
      <c r="AM37" s="960"/>
      <c r="AN37" s="960"/>
      <c r="AO37" s="960"/>
      <c r="AP37" s="1259" t="s">
        <v>22</v>
      </c>
      <c r="AQ37" s="1259"/>
      <c r="AR37" s="1259"/>
      <c r="AS37" s="960"/>
      <c r="AT37" s="960"/>
      <c r="AU37" s="960"/>
      <c r="AV37" s="960"/>
      <c r="AW37" s="276"/>
      <c r="AX37" s="276"/>
      <c r="AY37" s="276"/>
      <c r="BC37" s="831">
        <v>1.2</v>
      </c>
    </row>
    <row r="38" spans="1:61" s="96" customFormat="1" ht="15.75">
      <c r="A38" s="1268" t="s">
        <v>23</v>
      </c>
      <c r="B38" s="1268"/>
      <c r="C38" s="1268"/>
      <c r="D38" s="1268"/>
      <c r="E38" s="1268"/>
      <c r="F38" s="1268"/>
      <c r="G38" s="1268"/>
      <c r="H38" s="1268"/>
      <c r="I38" s="1268"/>
      <c r="J38" s="1437">
        <f>DATOS!$T$41</f>
        <v>0</v>
      </c>
      <c r="K38" s="1437"/>
      <c r="L38" s="1437"/>
      <c r="M38" s="1437"/>
      <c r="N38" s="1437"/>
      <c r="O38" s="1259" t="s">
        <v>24</v>
      </c>
      <c r="P38" s="1259"/>
      <c r="Q38" s="1259"/>
      <c r="R38" s="960"/>
      <c r="S38" s="960"/>
      <c r="T38" s="960"/>
      <c r="U38" s="960"/>
      <c r="V38" s="1274" t="s">
        <v>25</v>
      </c>
      <c r="W38" s="1275"/>
      <c r="X38" s="1276"/>
      <c r="Y38" s="1258"/>
      <c r="Z38" s="1258"/>
      <c r="AA38" s="1258"/>
      <c r="AB38" s="1258"/>
      <c r="AC38" s="1259" t="s">
        <v>26</v>
      </c>
      <c r="AD38" s="1259"/>
      <c r="AE38" s="1259"/>
      <c r="AF38" s="960"/>
      <c r="AG38" s="960"/>
      <c r="AH38" s="960"/>
      <c r="AI38" s="1259" t="s">
        <v>27</v>
      </c>
      <c r="AJ38" s="1259"/>
      <c r="AK38" s="1259"/>
      <c r="AL38" s="960"/>
      <c r="AM38" s="960"/>
      <c r="AN38" s="960"/>
      <c r="AO38" s="960"/>
      <c r="AP38" s="1259" t="s">
        <v>257</v>
      </c>
      <c r="AQ38" s="1259"/>
      <c r="AR38" s="1259"/>
      <c r="AS38" s="1424">
        <v>0</v>
      </c>
      <c r="AT38" s="1425"/>
      <c r="AU38" s="1425"/>
      <c r="AV38" s="1426"/>
      <c r="AW38" s="276"/>
      <c r="AX38" s="276"/>
      <c r="AY38" s="276"/>
      <c r="BC38" s="831">
        <v>1.3</v>
      </c>
    </row>
    <row r="39" spans="1:61" s="96" customFormat="1" ht="15.75">
      <c r="A39" s="1268" t="s">
        <v>28</v>
      </c>
      <c r="B39" s="1268"/>
      <c r="C39" s="1268"/>
      <c r="D39" s="1268"/>
      <c r="E39" s="1268"/>
      <c r="F39" s="1268"/>
      <c r="G39" s="1268"/>
      <c r="H39" s="1268"/>
      <c r="I39" s="1268"/>
      <c r="J39" s="960"/>
      <c r="K39" s="960"/>
      <c r="L39" s="960"/>
      <c r="M39" s="960"/>
      <c r="N39" s="960"/>
      <c r="O39" s="1259" t="s">
        <v>29</v>
      </c>
      <c r="P39" s="1259"/>
      <c r="Q39" s="1259"/>
      <c r="R39" s="960"/>
      <c r="S39" s="960"/>
      <c r="T39" s="960"/>
      <c r="U39" s="960"/>
      <c r="V39" s="1274" t="s">
        <v>30</v>
      </c>
      <c r="W39" s="1275"/>
      <c r="X39" s="1276"/>
      <c r="Y39" s="1257">
        <f>DATOS!$F$96</f>
        <v>20880</v>
      </c>
      <c r="Z39" s="1257"/>
      <c r="AA39" s="1257"/>
      <c r="AB39" s="1257"/>
      <c r="AC39" s="1259" t="s">
        <v>31</v>
      </c>
      <c r="AD39" s="1259"/>
      <c r="AE39" s="1259"/>
      <c r="AF39" s="960"/>
      <c r="AG39" s="960"/>
      <c r="AH39" s="960"/>
      <c r="AI39" s="1259" t="s">
        <v>32</v>
      </c>
      <c r="AJ39" s="1259"/>
      <c r="AK39" s="1259"/>
      <c r="AL39" s="1280"/>
      <c r="AM39" s="1280"/>
      <c r="AN39" s="1280"/>
      <c r="AO39" s="1280"/>
      <c r="AP39" s="1280"/>
      <c r="AQ39" s="1280"/>
      <c r="AR39" s="1280"/>
      <c r="AS39" s="960"/>
      <c r="AT39" s="960"/>
      <c r="AU39" s="960"/>
      <c r="AV39" s="960"/>
      <c r="AW39" s="276"/>
      <c r="AX39" s="276"/>
      <c r="AY39" s="276"/>
      <c r="BC39" s="831">
        <v>1.45</v>
      </c>
    </row>
    <row r="40" spans="1:61" s="96" customFormat="1" ht="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79"/>
      <c r="AO40" s="8"/>
      <c r="AP40" s="8"/>
      <c r="AQ40" s="8"/>
      <c r="AR40" s="8"/>
      <c r="AS40" s="79"/>
      <c r="AT40" s="8"/>
      <c r="AU40" s="8"/>
      <c r="AV40" s="8"/>
      <c r="AW40" s="276"/>
      <c r="AX40" s="276"/>
      <c r="AY40" s="276"/>
    </row>
    <row r="41" spans="1:61" s="96" customFormat="1" ht="19.5" customHeight="1">
      <c r="A41" s="112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311" t="s">
        <v>304</v>
      </c>
      <c r="AO41" s="1381">
        <f>+(J36*Y36*(J37+1)*Y39)+(R37*AL36)</f>
        <v>0</v>
      </c>
      <c r="AP41" s="1381"/>
      <c r="AQ41" s="1381"/>
      <c r="AR41" s="1381"/>
      <c r="AS41" s="1381"/>
      <c r="AT41" s="1381"/>
      <c r="AU41" s="1381"/>
      <c r="AV41" s="1381"/>
      <c r="AW41" s="1381"/>
      <c r="AX41" s="1381"/>
      <c r="AY41" s="1381"/>
    </row>
    <row r="42" spans="1:61" s="96" customFormat="1" ht="2.25" customHeight="1">
      <c r="A42" s="8"/>
      <c r="B42" s="8"/>
      <c r="C42" s="8"/>
      <c r="D42" s="8"/>
      <c r="E42" s="8"/>
      <c r="F42" s="8"/>
      <c r="G42" s="8"/>
      <c r="H42" s="17"/>
      <c r="I42" s="17"/>
      <c r="J42" s="17"/>
      <c r="K42" s="17"/>
      <c r="L42" s="17"/>
      <c r="M42" s="17"/>
      <c r="N42" s="17"/>
      <c r="O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9"/>
      <c r="AO42" s="8"/>
      <c r="AP42" s="8"/>
      <c r="AQ42" s="8"/>
      <c r="AR42" s="8"/>
      <c r="AS42" s="79"/>
      <c r="AT42" s="8"/>
      <c r="AU42" s="8"/>
      <c r="AV42" s="8"/>
    </row>
    <row r="43" spans="1:61" s="96" customFormat="1" ht="18.75" customHeight="1">
      <c r="A43" s="1271" t="s">
        <v>252</v>
      </c>
      <c r="B43" s="1272"/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382">
        <f>IF(DATOS!F103="si",DATOS!F99,'Art. 29'!AO41)</f>
        <v>0</v>
      </c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9"/>
      <c r="AO43" s="8"/>
      <c r="AP43" s="8"/>
      <c r="AQ43" s="8"/>
      <c r="AR43" s="8"/>
      <c r="AS43" s="79"/>
      <c r="AT43" s="8"/>
      <c r="AU43" s="8"/>
      <c r="AV43" s="8"/>
    </row>
    <row r="44" spans="1:61" s="96" customFormat="1" ht="4.5" customHeight="1">
      <c r="A44" s="280"/>
    </row>
    <row r="45" spans="1:61" s="282" customFormat="1">
      <c r="A45" s="281" t="s">
        <v>285</v>
      </c>
    </row>
    <row r="46" spans="1:61" s="96" customFormat="1" ht="8.25" customHeight="1">
      <c r="A46" s="283"/>
    </row>
    <row r="47" spans="1:61" s="96" customFormat="1">
      <c r="A47" s="279"/>
      <c r="B47" s="1432">
        <f>IF(AF13="5ª",BD55,BC55)</f>
        <v>0</v>
      </c>
      <c r="C47" s="1433"/>
      <c r="D47" s="1434"/>
      <c r="E47" s="1431" t="s">
        <v>286</v>
      </c>
      <c r="F47" s="1431"/>
      <c r="G47" s="1431"/>
      <c r="H47" s="1431"/>
      <c r="I47" s="1431"/>
      <c r="J47" s="1431"/>
      <c r="K47" s="1431"/>
      <c r="L47" s="1431"/>
      <c r="M47" s="1435">
        <f>IF(Q43&lt;=0,0,IF(AND(Q43&gt;0,Q43&lt;=BK59),Q43,IF(AND(Q43&gt;BK59,Q43&lt;=BK61),BK59,IF(AND(Q43&gt;BK61,Q43&lt;=BL61),BK61,IF(AND(Q43&gt;BL61,Q43&lt;=BL62),BL61,IF(AND(Q43&gt;BL62,Q43&lt;=BL63),BL62,IF(Q43&gt;BK63,BL63)))))))</f>
        <v>0</v>
      </c>
      <c r="N47" s="1435"/>
      <c r="O47" s="1435"/>
      <c r="P47" s="1435"/>
      <c r="Q47" s="1435"/>
      <c r="R47" s="1435"/>
      <c r="S47" s="1436"/>
      <c r="T47" s="1374"/>
      <c r="U47" s="1375"/>
      <c r="V47" s="1364">
        <f>IF(AF13="5ª",BD60,BC60)</f>
        <v>0</v>
      </c>
      <c r="W47" s="1364"/>
      <c r="X47" s="1364"/>
      <c r="Y47" s="1364"/>
      <c r="Z47" s="1364"/>
      <c r="AA47" s="1364"/>
      <c r="AB47" s="1365"/>
      <c r="AC47" s="262"/>
      <c r="AD47" s="262"/>
      <c r="AE47" s="1373"/>
      <c r="AF47" s="1373"/>
      <c r="AG47" s="1373"/>
      <c r="AH47" s="1373"/>
      <c r="AI47" s="1373"/>
      <c r="AJ47" s="1373"/>
      <c r="AK47" s="1373"/>
      <c r="AL47" s="1373"/>
      <c r="AM47" s="1373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3"/>
    </row>
    <row r="48" spans="1:61" s="96" customFormat="1" ht="12" customHeight="1">
      <c r="A48" s="277"/>
      <c r="B48" s="1432">
        <f>IF(AF13="5ª",BD57,BC57)</f>
        <v>0</v>
      </c>
      <c r="C48" s="1433"/>
      <c r="D48" s="1434"/>
      <c r="E48" s="1431" t="s">
        <v>287</v>
      </c>
      <c r="F48" s="1431"/>
      <c r="G48" s="1431"/>
      <c r="H48" s="1431"/>
      <c r="I48" s="1431"/>
      <c r="J48" s="1431"/>
      <c r="K48" s="1431"/>
      <c r="L48" s="1431"/>
      <c r="M48" s="1435">
        <f>IF(Q43&gt;=0,Q43-M47)</f>
        <v>0</v>
      </c>
      <c r="N48" s="1435"/>
      <c r="O48" s="1435"/>
      <c r="P48" s="1435"/>
      <c r="Q48" s="1435"/>
      <c r="R48" s="1435"/>
      <c r="S48" s="1436"/>
      <c r="T48" s="1374"/>
      <c r="U48" s="1375"/>
      <c r="V48" s="1364">
        <f>IF(AF13="5ª",BD61,BC61)</f>
        <v>0</v>
      </c>
      <c r="W48" s="1364"/>
      <c r="X48" s="1364"/>
      <c r="Y48" s="1364"/>
      <c r="Z48" s="1364"/>
      <c r="AA48" s="1364"/>
      <c r="AB48" s="1365"/>
      <c r="AC48" s="262"/>
      <c r="AD48" s="262"/>
      <c r="AE48" s="1373"/>
      <c r="AF48" s="1373"/>
      <c r="AG48" s="1373"/>
      <c r="AH48" s="1373"/>
      <c r="AI48" s="1373"/>
      <c r="AJ48" s="1373"/>
      <c r="AK48" s="1373"/>
      <c r="AL48" s="1373"/>
      <c r="AM48" s="1373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3"/>
    </row>
    <row r="49" spans="1:66" s="96" customFormat="1" ht="18.75" customHeight="1" thickBot="1">
      <c r="A49" s="277"/>
      <c r="B49" s="284"/>
      <c r="C49" s="285"/>
      <c r="D49" s="285"/>
      <c r="E49" s="285"/>
      <c r="F49" s="320" t="s">
        <v>305</v>
      </c>
      <c r="G49" s="285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3"/>
      <c r="T49" s="1374"/>
      <c r="U49" s="1375"/>
      <c r="V49" s="1366">
        <f>IF(AF13="5ª",BD63,BC63)</f>
        <v>0</v>
      </c>
      <c r="W49" s="1366"/>
      <c r="X49" s="1366"/>
      <c r="Y49" s="1366"/>
      <c r="Z49" s="1366"/>
      <c r="AA49" s="1366"/>
      <c r="AB49" s="1367"/>
      <c r="AC49" s="317"/>
      <c r="AD49" s="317"/>
      <c r="AE49" s="317"/>
      <c r="AF49" s="312"/>
      <c r="AG49" s="312"/>
      <c r="AH49" s="312"/>
      <c r="AI49" s="312"/>
      <c r="AJ49" s="312"/>
      <c r="AK49" s="312"/>
      <c r="AL49" s="312"/>
      <c r="AM49" s="312"/>
      <c r="AN49" s="313"/>
      <c r="AY49" s="314"/>
      <c r="BD49" s="829"/>
      <c r="BE49" s="829"/>
      <c r="BF49" s="829"/>
    </row>
    <row r="50" spans="1:66" s="96" customFormat="1" ht="18" customHeight="1" thickBot="1">
      <c r="A50" s="277"/>
      <c r="B50" s="277"/>
      <c r="C50" s="277"/>
      <c r="D50" s="277"/>
      <c r="E50" s="287"/>
      <c r="F50" s="277"/>
      <c r="G50" s="277"/>
      <c r="AB50" s="318"/>
      <c r="AC50" s="319" t="s">
        <v>306</v>
      </c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288"/>
      <c r="AO50" s="289"/>
      <c r="AP50" s="1376">
        <f>+V49/10</f>
        <v>0</v>
      </c>
      <c r="AQ50" s="1376"/>
      <c r="AR50" s="1376"/>
      <c r="AS50" s="1376"/>
      <c r="AT50" s="1376"/>
      <c r="AU50" s="1376"/>
      <c r="AV50" s="1376"/>
      <c r="AW50" s="1376"/>
      <c r="AX50" s="1376"/>
      <c r="AY50" s="1377"/>
    </row>
    <row r="51" spans="1:66" s="96" customFormat="1" ht="6.75" customHeight="1" thickBot="1">
      <c r="A51" s="277"/>
      <c r="B51" s="277"/>
      <c r="C51" s="277"/>
      <c r="D51" s="277"/>
      <c r="E51" s="290"/>
      <c r="F51" s="278"/>
      <c r="G51" s="278"/>
    </row>
    <row r="52" spans="1:66" s="96" customFormat="1">
      <c r="A52" s="279"/>
      <c r="B52" s="291" t="s">
        <v>288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3"/>
      <c r="AF52" s="1369"/>
      <c r="AG52" s="1370"/>
      <c r="AH52" s="1419">
        <f>ROUNDUP(AP50,0)</f>
        <v>0</v>
      </c>
      <c r="AI52" s="1419"/>
      <c r="AJ52" s="1419"/>
      <c r="AK52" s="1419"/>
      <c r="AL52" s="1419"/>
      <c r="AM52" s="1419"/>
      <c r="AN52" s="1419"/>
      <c r="AO52" s="1419"/>
      <c r="AP52" s="1419"/>
      <c r="AQ52" s="1419"/>
      <c r="AR52" s="1419"/>
      <c r="AS52" s="1419"/>
      <c r="AT52" s="1419"/>
      <c r="AU52" s="1419"/>
      <c r="AV52" s="1419"/>
      <c r="AW52" s="1419"/>
      <c r="AX52" s="1419"/>
      <c r="AY52" s="1420"/>
    </row>
    <row r="53" spans="1:66" s="96" customFormat="1" ht="13.5" thickBot="1">
      <c r="A53" s="283"/>
      <c r="B53" s="294" t="s">
        <v>289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6"/>
      <c r="AF53" s="1371"/>
      <c r="AG53" s="1372"/>
      <c r="AH53" s="1421"/>
      <c r="AI53" s="1421"/>
      <c r="AJ53" s="1421"/>
      <c r="AK53" s="1421"/>
      <c r="AL53" s="1421"/>
      <c r="AM53" s="1421"/>
      <c r="AN53" s="1421"/>
      <c r="AO53" s="1421"/>
      <c r="AP53" s="1421"/>
      <c r="AQ53" s="1421"/>
      <c r="AR53" s="1421"/>
      <c r="AS53" s="1421"/>
      <c r="AT53" s="1421"/>
      <c r="AU53" s="1421"/>
      <c r="AV53" s="1421"/>
      <c r="AW53" s="1421"/>
      <c r="AX53" s="1421"/>
      <c r="AY53" s="1422"/>
    </row>
    <row r="54" spans="1:66" s="96" customFormat="1" ht="4.5" customHeight="1" thickBot="1">
      <c r="A54" s="290"/>
      <c r="B54" s="297"/>
      <c r="C54" s="290"/>
      <c r="D54" s="298"/>
    </row>
    <row r="55" spans="1:66" s="96" customFormat="1" ht="19.5" customHeight="1">
      <c r="A55" s="279"/>
      <c r="B55" s="299" t="s">
        <v>290</v>
      </c>
      <c r="C55" s="300"/>
      <c r="D55" s="301"/>
      <c r="E55" s="301"/>
      <c r="F55" s="301"/>
      <c r="G55" s="301"/>
      <c r="H55" s="1368" t="s">
        <v>682</v>
      </c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1368"/>
      <c r="AG55" s="1368"/>
      <c r="AH55" s="1368"/>
      <c r="AI55" s="1368"/>
      <c r="AJ55" s="1368"/>
      <c r="AK55" s="1368"/>
      <c r="AL55" s="1368"/>
      <c r="AM55" s="1368"/>
      <c r="AN55" s="1368"/>
      <c r="AO55" s="1368"/>
      <c r="AP55" s="1368"/>
      <c r="AQ55" s="1368"/>
      <c r="AR55" s="1368"/>
      <c r="AS55" s="1368"/>
      <c r="AT55" s="1368"/>
      <c r="AU55" s="1368"/>
      <c r="AV55" s="1368"/>
      <c r="AW55" s="1368"/>
      <c r="AX55" s="1368"/>
      <c r="AY55" s="1368"/>
      <c r="AZ55" s="1368"/>
      <c r="BC55" s="815">
        <f>IF(BC57&lt;6,0,6)</f>
        <v>0</v>
      </c>
      <c r="BD55" s="543">
        <f>IF(BD57&lt;7,0,7)</f>
        <v>0</v>
      </c>
    </row>
    <row r="56" spans="1:66" s="96" customFormat="1" ht="4.5" customHeight="1">
      <c r="A56" s="271"/>
      <c r="BC56" s="527"/>
      <c r="BD56" s="529"/>
    </row>
    <row r="57" spans="1:66" s="96" customFormat="1" ht="12" customHeight="1">
      <c r="A57" s="302"/>
      <c r="B57" s="1405" t="s">
        <v>291</v>
      </c>
      <c r="C57" s="1406"/>
      <c r="D57" s="1406"/>
      <c r="E57" s="1406"/>
      <c r="F57" s="1406"/>
      <c r="G57" s="1406"/>
      <c r="H57" s="1406"/>
      <c r="I57" s="1406"/>
      <c r="J57" s="1406"/>
      <c r="K57" s="1406"/>
      <c r="L57" s="1406"/>
      <c r="M57" s="1406"/>
      <c r="N57" s="1406"/>
      <c r="O57" s="1406"/>
      <c r="P57" s="1406"/>
      <c r="Q57" s="1406"/>
      <c r="R57" s="1406"/>
      <c r="S57" s="1406"/>
      <c r="T57" s="1406"/>
      <c r="U57" s="1406"/>
      <c r="V57" s="1407"/>
      <c r="W57" s="1361" t="s">
        <v>292</v>
      </c>
      <c r="X57" s="1408"/>
      <c r="Y57" s="1408"/>
      <c r="Z57" s="1408"/>
      <c r="AA57" s="1408"/>
      <c r="AB57" s="1408"/>
      <c r="AC57" s="1408"/>
      <c r="AD57" s="286"/>
      <c r="AE57" s="1361" t="s">
        <v>57</v>
      </c>
      <c r="AF57" s="1362"/>
      <c r="AG57" s="1362"/>
      <c r="AH57" s="1362"/>
      <c r="AI57" s="1362"/>
      <c r="AJ57" s="1362"/>
      <c r="AK57" s="1362"/>
      <c r="AL57" s="1363"/>
      <c r="AN57" s="1361" t="s">
        <v>293</v>
      </c>
      <c r="AO57" s="1362"/>
      <c r="AP57" s="1362"/>
      <c r="AQ57" s="1362"/>
      <c r="AR57" s="1362"/>
      <c r="AS57" s="1362"/>
      <c r="AT57" s="1362"/>
      <c r="AU57" s="1362"/>
      <c r="AV57" s="1362"/>
      <c r="AW57" s="1362"/>
      <c r="AX57" s="1362"/>
      <c r="AY57" s="1363"/>
      <c r="BC57" s="823">
        <f>IF(AND(Q43&gt;0,Q43&lt;=BL59),6,IF(AND(Q43&gt;BL59,Q43&lt;=BL60),5.5,IF(AND(Q43&gt;BK60,Q43&lt;=BL61),5,IF(AND(Q43&gt;BK61,Q43&lt;=BL62),4.5,IF(AND(Q43&gt;BK62,Q43&lt;=BL63),4,IF(AND(Q43&gt;BL63),3.5,0))))))</f>
        <v>0</v>
      </c>
      <c r="BD57" s="824">
        <f>IF(AND(Q43&gt;0,Q43&lt;=BL59),7,IF(AND(Q43&gt;BL59,Q43&lt;=BL60),6.5,IF(AND(Q43&gt;BK60,Q43&lt;=BL61),6,IF(AND(Q43&gt;BK61,Q43&lt;=BL62),5.5,IF(AND(Q43&gt;BK62,Q43&lt;=BL63),5,IF(AND(Q43&gt;BL63),4.5,0))))))</f>
        <v>0</v>
      </c>
      <c r="BE57" s="8"/>
      <c r="BF57" s="8"/>
      <c r="BG57" s="63"/>
      <c r="BH57" s="8"/>
      <c r="BI57" s="8"/>
      <c r="BJ57" s="8"/>
      <c r="BK57" s="15" t="s">
        <v>176</v>
      </c>
      <c r="BL57" s="15" t="s">
        <v>177</v>
      </c>
      <c r="BM57" s="83" t="s">
        <v>177</v>
      </c>
      <c r="BN57" s="15" t="s">
        <v>177</v>
      </c>
    </row>
    <row r="58" spans="1:66" s="96" customFormat="1">
      <c r="A58" s="277"/>
      <c r="B58" s="303"/>
      <c r="C58" s="304"/>
      <c r="D58" s="305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70"/>
      <c r="W58" s="306"/>
      <c r="X58" s="269"/>
      <c r="Y58" s="269"/>
      <c r="Z58" s="269"/>
      <c r="AA58" s="269"/>
      <c r="AB58" s="269"/>
      <c r="AC58" s="269"/>
      <c r="AD58" s="270"/>
      <c r="AE58" s="306"/>
      <c r="AF58" s="269"/>
      <c r="AG58" s="269"/>
      <c r="AH58" s="269"/>
      <c r="AI58" s="269"/>
      <c r="AJ58" s="269"/>
      <c r="AK58" s="269"/>
      <c r="AL58" s="270"/>
      <c r="AN58" s="306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70"/>
      <c r="BC58" s="179"/>
      <c r="BD58" s="180"/>
      <c r="BE58" s="8"/>
      <c r="BF58" s="8"/>
      <c r="BG58" s="8"/>
      <c r="BH58" s="8"/>
      <c r="BI58" s="8"/>
      <c r="BJ58" s="8"/>
      <c r="BK58" s="15"/>
      <c r="BL58" s="15"/>
      <c r="BM58" s="133">
        <v>0.06</v>
      </c>
      <c r="BN58" s="105">
        <v>7.0000000000000007E-2</v>
      </c>
    </row>
    <row r="59" spans="1:66" s="96" customFormat="1">
      <c r="A59" s="277"/>
      <c r="B59" s="277"/>
      <c r="C59" s="277"/>
      <c r="D59" s="316"/>
      <c r="BC59" s="179"/>
      <c r="BD59" s="180"/>
      <c r="BE59" s="8"/>
      <c r="BF59" s="8"/>
      <c r="BG59" s="77">
        <f>+IF(BE82&gt;0,BE82,Q43)</f>
        <v>0</v>
      </c>
      <c r="BH59" s="15" t="s">
        <v>35</v>
      </c>
      <c r="BI59" s="158"/>
      <c r="BJ59" s="159" t="s">
        <v>167</v>
      </c>
      <c r="BK59" s="208">
        <f>DATOS!AJ188</f>
        <v>2900000</v>
      </c>
      <c r="BL59" s="15">
        <f>BK59</f>
        <v>2900000</v>
      </c>
      <c r="BM59" s="15">
        <f>BK59*0.06</f>
        <v>174000</v>
      </c>
      <c r="BN59" s="15">
        <f>BK59*0.07</f>
        <v>203000.00000000003</v>
      </c>
    </row>
    <row r="60" spans="1:66" s="96" customFormat="1">
      <c r="A60" s="307"/>
      <c r="BC60" s="825">
        <f>IF(AND(Q43&gt;0,Q43&lt;=BL59),Q43*0.06,IF(AND(Q43&gt;BL59,Q43&lt;=BL60),BM59,IF(AND(Q43&gt;BL60,Q43&lt;=BL61),BM60,IF(AND(Q43&gt;BL61,Q43&lt;=BL62),BM61,IF(AND(Q43&gt;BL62,Q43&lt;=BL63),BM62,IF(AND(Q43&gt;BL63),BM63,0))))))</f>
        <v>0</v>
      </c>
      <c r="BD60" s="826">
        <f>IF(AND(Q43&gt;0,Q43&lt;=BL59),Q43*0.07,IF(AND(Q43&gt;BL59,Q43&lt;=BL60),BN59,IF(AND(Q43&gt;BL60,Q43&lt;=BL61),BN60,IF(AND(Q43&gt;BL61,Q43&lt;=BL62),BN61,IF(AND(Q43&gt;BL62,Q43&lt;=BL63),BN62,IF(AND(Q43&gt;BL63),BN63,0))))))</f>
        <v>0</v>
      </c>
      <c r="BE60" s="8"/>
      <c r="BF60" s="8"/>
      <c r="BG60" s="33">
        <f>+IF(BE82&gt;0,BG83,V47)</f>
        <v>0</v>
      </c>
      <c r="BH60" s="32" t="s">
        <v>96</v>
      </c>
      <c r="BI60" s="8"/>
      <c r="BJ60" s="8"/>
      <c r="BK60" s="208">
        <f>DATOS!AJ189</f>
        <v>11600000</v>
      </c>
      <c r="BL60" s="15">
        <f>BL59+BK60</f>
        <v>14500000</v>
      </c>
      <c r="BM60" s="15">
        <f>BK59*0.06+BK60*0.055</f>
        <v>812000</v>
      </c>
      <c r="BN60" s="15">
        <f>BK59*0.07+BK60*0.065</f>
        <v>957000</v>
      </c>
    </row>
    <row r="61" spans="1:66" s="96" customFormat="1" ht="27" customHeight="1">
      <c r="A61" s="307"/>
      <c r="V61" s="268" t="s">
        <v>294</v>
      </c>
      <c r="BC61" s="825">
        <f>+(BC57/100)*M48</f>
        <v>0</v>
      </c>
      <c r="BD61" s="826">
        <f>(BD57/100)*M48</f>
        <v>0</v>
      </c>
      <c r="BE61" s="8"/>
      <c r="BF61" s="8"/>
      <c r="BG61" s="33">
        <f>+IF(BE82&gt;0,BG84,V48)</f>
        <v>0</v>
      </c>
      <c r="BH61" s="32" t="s">
        <v>96</v>
      </c>
      <c r="BI61" s="8"/>
      <c r="BJ61" s="8"/>
      <c r="BK61" s="208">
        <f>DATOS!AJ190</f>
        <v>14500000</v>
      </c>
      <c r="BL61" s="15">
        <f>BL60+BK61</f>
        <v>29000000</v>
      </c>
      <c r="BM61" s="15">
        <f>BK59*0.06+BK60*0.055+BK61*0.05</f>
        <v>1537000</v>
      </c>
      <c r="BN61" s="15">
        <f>BK59*0.07+BK60*0.065+BK61*0.06</f>
        <v>1827000</v>
      </c>
    </row>
    <row r="62" spans="1:66" s="96" customFormat="1">
      <c r="A62" s="283"/>
      <c r="J62" s="281"/>
      <c r="V62" s="268" t="s">
        <v>295</v>
      </c>
      <c r="BC62" s="825"/>
      <c r="BD62" s="826"/>
      <c r="BE62" s="8"/>
      <c r="BF62" s="8"/>
      <c r="BG62" s="33">
        <f>+BG60+BG61</f>
        <v>0</v>
      </c>
      <c r="BH62" s="1035" t="s">
        <v>146</v>
      </c>
      <c r="BI62" s="1035"/>
      <c r="BJ62" s="8"/>
      <c r="BK62" s="208">
        <f>DATOS!AJ191</f>
        <v>58000000</v>
      </c>
      <c r="BL62" s="15">
        <f>BL61+BK62</f>
        <v>87000000</v>
      </c>
      <c r="BM62" s="15">
        <f>BK59*0.06+BK60*0.055+BK61*0.05+BK62*0.045</f>
        <v>4147000</v>
      </c>
      <c r="BN62" s="15">
        <f>BK59*0.07+BK60*0.065+BK61*0.06+BK62*0.055</f>
        <v>5017000</v>
      </c>
    </row>
    <row r="63" spans="1:66" s="96" customFormat="1" ht="15">
      <c r="A63" s="308"/>
      <c r="V63" s="1428" t="s">
        <v>296</v>
      </c>
      <c r="W63" s="1428"/>
      <c r="X63" s="1428"/>
      <c r="Y63" s="1429" t="str">
        <f>DATOS!$G$22</f>
        <v>#</v>
      </c>
      <c r="Z63" s="1429"/>
      <c r="AA63" s="1429"/>
      <c r="AB63" s="1429"/>
      <c r="AC63" s="1429"/>
      <c r="AD63" s="1429"/>
      <c r="AE63" s="1429"/>
      <c r="AF63" s="1429"/>
      <c r="AG63" s="268" t="s">
        <v>297</v>
      </c>
      <c r="AJ63" s="1427" t="str">
        <f>DATOS!$G$21</f>
        <v>#</v>
      </c>
      <c r="AK63" s="1427"/>
      <c r="AL63" s="1427"/>
      <c r="AM63" s="1427"/>
      <c r="AN63" s="1427"/>
      <c r="AO63" s="268" t="s">
        <v>298</v>
      </c>
      <c r="AR63" s="1427" t="str">
        <f>DATOS!$G$19</f>
        <v>#</v>
      </c>
      <c r="AS63" s="1427"/>
      <c r="AT63" s="1427"/>
      <c r="AU63" s="1427"/>
      <c r="AV63" s="1427"/>
      <c r="AW63" s="1427"/>
      <c r="AX63" s="1427"/>
      <c r="AY63" s="1427"/>
      <c r="BC63" s="827">
        <f>+BC60+BC61</f>
        <v>0</v>
      </c>
      <c r="BD63" s="828">
        <f>+BD60+BD61</f>
        <v>0</v>
      </c>
      <c r="BE63" s="8"/>
      <c r="BF63" s="8"/>
      <c r="BG63" s="77">
        <f>+IF(BE82&gt;0,BE83,M47)</f>
        <v>0</v>
      </c>
      <c r="BH63" s="15" t="s">
        <v>36</v>
      </c>
      <c r="BI63" s="8"/>
      <c r="BJ63" s="8"/>
      <c r="BK63" s="208">
        <f>DATOS!AJ192</f>
        <v>203000000</v>
      </c>
      <c r="BL63" s="15">
        <f>BL62+BK63</f>
        <v>290000000</v>
      </c>
      <c r="BM63" s="15">
        <f>BK59*0.06+BK60*0.055+BK61*0.05+BK62*0.045+BK63*0.04</f>
        <v>12267000</v>
      </c>
      <c r="BN63" s="15">
        <f>BK59*0.07+BK60*0.065+BK61*0.06+BK62*0.055+BK63*0.05</f>
        <v>15167000</v>
      </c>
    </row>
    <row r="64" spans="1:66" s="96" customFormat="1" ht="13.5" thickBot="1">
      <c r="A64" s="308"/>
      <c r="D64" s="309"/>
      <c r="V64" s="1430" t="s">
        <v>54</v>
      </c>
      <c r="W64" s="1430"/>
      <c r="X64" s="1430"/>
      <c r="Y64" s="1430"/>
      <c r="Z64" s="1430"/>
      <c r="AA64" s="1427" t="str">
        <f>DATOS!$G$23</f>
        <v>#</v>
      </c>
      <c r="AB64" s="1427"/>
      <c r="AC64" s="1427"/>
      <c r="AD64" s="1427"/>
      <c r="AE64" s="1427"/>
      <c r="AF64" s="1427"/>
      <c r="AG64" s="1427"/>
      <c r="AH64" s="1427"/>
      <c r="AI64" s="1427"/>
      <c r="AJ64" s="1427"/>
      <c r="AK64" s="1427"/>
      <c r="AL64" s="1427"/>
      <c r="AM64" s="1427"/>
      <c r="AN64" s="1427"/>
      <c r="AO64" s="1427"/>
      <c r="AP64" s="1427"/>
      <c r="AQ64" s="1427" t="str">
        <f>DATOS!$G$24</f>
        <v>#</v>
      </c>
      <c r="AR64" s="1427"/>
      <c r="AS64" s="1427"/>
      <c r="AT64" s="1427"/>
      <c r="AU64" s="1427"/>
      <c r="AV64" s="1427"/>
      <c r="AW64" s="1427"/>
      <c r="AX64" s="1427"/>
      <c r="AY64" s="1427"/>
      <c r="BC64" s="181"/>
      <c r="BD64" s="814"/>
      <c r="BF64" s="15"/>
      <c r="BG64" s="15"/>
      <c r="BH64" s="8"/>
      <c r="BI64" s="8"/>
    </row>
    <row r="65" spans="43:61" s="96" customFormat="1">
      <c r="BC65" s="14"/>
      <c r="BD65" s="23"/>
      <c r="BF65" s="15"/>
      <c r="BH65" s="8"/>
      <c r="BI65" s="18"/>
    </row>
    <row r="66" spans="43:61" s="96" customFormat="1">
      <c r="BC66" s="14"/>
      <c r="BF66" s="15"/>
      <c r="BH66" s="8"/>
      <c r="BI66" s="8"/>
    </row>
    <row r="67" spans="43:61" s="96" customFormat="1">
      <c r="BC67" s="14"/>
      <c r="BD67" s="23"/>
      <c r="BE67" s="24"/>
      <c r="BF67" s="15"/>
      <c r="BG67" s="15"/>
      <c r="BH67" s="8"/>
      <c r="BI67" s="8"/>
    </row>
    <row r="68" spans="43:61" s="96" customFormat="1">
      <c r="BC68" s="14"/>
      <c r="BD68" s="23"/>
      <c r="BE68" s="13"/>
      <c r="BF68" s="15"/>
      <c r="BH68" s="8"/>
      <c r="BI68" s="8"/>
    </row>
    <row r="69" spans="43:61" s="96" customFormat="1"/>
    <row r="70" spans="43:61" s="96" customFormat="1"/>
    <row r="71" spans="43:61" s="96" customFormat="1">
      <c r="AQ71" s="266"/>
    </row>
    <row r="72" spans="43:61" s="96" customFormat="1"/>
    <row r="73" spans="43:61" s="96" customFormat="1"/>
    <row r="74" spans="43:61" s="96" customFormat="1"/>
    <row r="75" spans="43:61" s="96" customFormat="1"/>
    <row r="76" spans="43:61" s="96" customFormat="1"/>
    <row r="77" spans="43:61" s="96" customFormat="1"/>
    <row r="78" spans="43:61" s="96" customFormat="1"/>
    <row r="79" spans="43:61" s="96" customFormat="1"/>
    <row r="80" spans="43:61" s="96" customFormat="1"/>
    <row r="81" s="96" customFormat="1"/>
    <row r="82" s="96" customFormat="1"/>
    <row r="83" s="96" customFormat="1"/>
    <row r="84" s="96" customFormat="1"/>
    <row r="85" s="96" customFormat="1"/>
    <row r="86" s="96" customFormat="1"/>
    <row r="87" s="96" customFormat="1"/>
    <row r="88" s="96" customFormat="1"/>
    <row r="89" s="96" customFormat="1"/>
    <row r="90" s="96" customFormat="1"/>
    <row r="91" s="96" customFormat="1"/>
    <row r="92" s="96" customFormat="1"/>
    <row r="93" s="96" customFormat="1"/>
    <row r="94" s="96" customFormat="1"/>
    <row r="95" s="96" customFormat="1"/>
    <row r="96" s="96" customFormat="1"/>
    <row r="97" s="96" customFormat="1"/>
    <row r="98" s="96" customFormat="1"/>
    <row r="99" s="96" customFormat="1"/>
    <row r="100" s="96" customFormat="1"/>
    <row r="101" s="96" customFormat="1"/>
    <row r="102" s="96" customFormat="1"/>
    <row r="103" s="96" customFormat="1"/>
    <row r="104" s="96" customFormat="1"/>
    <row r="105" s="96" customFormat="1"/>
    <row r="106" s="96" customFormat="1"/>
    <row r="107" s="253" customFormat="1" ht="13.5" customHeight="1"/>
  </sheetData>
  <sheetProtection sheet="1" objects="1" scenarios="1"/>
  <mergeCells count="100">
    <mergeCell ref="AQ64:AY64"/>
    <mergeCell ref="V63:X63"/>
    <mergeCell ref="Y63:AF63"/>
    <mergeCell ref="AJ63:AN63"/>
    <mergeCell ref="AR63:AY63"/>
    <mergeCell ref="V64:Z64"/>
    <mergeCell ref="AA64:AP64"/>
    <mergeCell ref="A36:I36"/>
    <mergeCell ref="V47:AB47"/>
    <mergeCell ref="V38:X38"/>
    <mergeCell ref="AF38:AH38"/>
    <mergeCell ref="AS38:AV38"/>
    <mergeCell ref="A39:I39"/>
    <mergeCell ref="A37:I37"/>
    <mergeCell ref="E47:L47"/>
    <mergeCell ref="A38:I38"/>
    <mergeCell ref="B47:D47"/>
    <mergeCell ref="M47:S47"/>
    <mergeCell ref="J38:N38"/>
    <mergeCell ref="AS37:AV37"/>
    <mergeCell ref="R38:U38"/>
    <mergeCell ref="V39:X39"/>
    <mergeCell ref="AL37:AO37"/>
    <mergeCell ref="AL38:AO38"/>
    <mergeCell ref="AP38:AR38"/>
    <mergeCell ref="AP39:AR39"/>
    <mergeCell ref="AF36:AH36"/>
    <mergeCell ref="J36:N36"/>
    <mergeCell ref="O36:Q36"/>
    <mergeCell ref="R36:U36"/>
    <mergeCell ref="O38:Q38"/>
    <mergeCell ref="V36:X36"/>
    <mergeCell ref="Y26:AD26"/>
    <mergeCell ref="Y29:AY30"/>
    <mergeCell ref="Y38:AB38"/>
    <mergeCell ref="AC37:AE37"/>
    <mergeCell ref="AP36:AR36"/>
    <mergeCell ref="AI38:AK38"/>
    <mergeCell ref="AI37:AK37"/>
    <mergeCell ref="Y37:AB37"/>
    <mergeCell ref="AF37:AH37"/>
    <mergeCell ref="AI36:AK36"/>
    <mergeCell ref="AC38:AE38"/>
    <mergeCell ref="AP37:AR37"/>
    <mergeCell ref="AS36:AV36"/>
    <mergeCell ref="AL36:AO36"/>
    <mergeCell ref="AC36:AE36"/>
    <mergeCell ref="Y36:AB36"/>
    <mergeCell ref="W8:AG8"/>
    <mergeCell ref="H9:AW9"/>
    <mergeCell ref="S11:AK11"/>
    <mergeCell ref="AE26:AH26"/>
    <mergeCell ref="S13:AE13"/>
    <mergeCell ref="Y16:AR16"/>
    <mergeCell ref="AF13:AG13"/>
    <mergeCell ref="A26:X30"/>
    <mergeCell ref="AE27:AH27"/>
    <mergeCell ref="L18:AX18"/>
    <mergeCell ref="H20:AX20"/>
    <mergeCell ref="AQ27:AY27"/>
    <mergeCell ref="AQ26:AY26"/>
    <mergeCell ref="AQ28:AY28"/>
    <mergeCell ref="AE28:AH28"/>
    <mergeCell ref="Y27:AD27"/>
    <mergeCell ref="Y28:AD28"/>
    <mergeCell ref="AS39:AV39"/>
    <mergeCell ref="O39:Q39"/>
    <mergeCell ref="AO41:AY41"/>
    <mergeCell ref="Q43:AB43"/>
    <mergeCell ref="Y39:AB39"/>
    <mergeCell ref="AF39:AH39"/>
    <mergeCell ref="AC39:AE39"/>
    <mergeCell ref="AL39:AO39"/>
    <mergeCell ref="A43:P43"/>
    <mergeCell ref="R37:U37"/>
    <mergeCell ref="V37:X37"/>
    <mergeCell ref="J39:N39"/>
    <mergeCell ref="R39:U39"/>
    <mergeCell ref="J37:N37"/>
    <mergeCell ref="O37:Q37"/>
    <mergeCell ref="AI39:AK39"/>
    <mergeCell ref="H55:AZ55"/>
    <mergeCell ref="AF52:AG53"/>
    <mergeCell ref="AE48:AM48"/>
    <mergeCell ref="T48:U48"/>
    <mergeCell ref="T47:U47"/>
    <mergeCell ref="AP50:AY50"/>
    <mergeCell ref="AE47:AM47"/>
    <mergeCell ref="T49:U49"/>
    <mergeCell ref="AH52:AY53"/>
    <mergeCell ref="E48:L48"/>
    <mergeCell ref="M48:S48"/>
    <mergeCell ref="BH62:BI62"/>
    <mergeCell ref="AN57:AY57"/>
    <mergeCell ref="V48:AB48"/>
    <mergeCell ref="V49:AB49"/>
    <mergeCell ref="AE57:AL57"/>
    <mergeCell ref="B57:V57"/>
    <mergeCell ref="W57:AC57"/>
    <mergeCell ref="B48:D48"/>
  </mergeCells>
  <phoneticPr fontId="18" type="noConversion"/>
  <dataValidations count="1">
    <dataValidation type="list" allowBlank="1" showInputMessage="1" showErrorMessage="1" sqref="J37:N37">
      <formula1>$BC$37:$BC$39</formula1>
    </dataValidation>
  </dataValidations>
  <pageMargins left="1.29" right="0.17" top="0.13" bottom="0.3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9"/>
  <sheetViews>
    <sheetView topLeftCell="A7" workbookViewId="0">
      <selection activeCell="R37" sqref="R37"/>
    </sheetView>
  </sheetViews>
  <sheetFormatPr baseColWidth="10" defaultColWidth="11.42578125" defaultRowHeight="12.75"/>
  <cols>
    <col min="1" max="1" width="3.28515625" style="350" customWidth="1"/>
    <col min="2" max="2" width="8" style="350" customWidth="1"/>
    <col min="3" max="3" width="8.140625" style="350" customWidth="1"/>
    <col min="4" max="4" width="8.42578125" style="350" customWidth="1"/>
    <col min="5" max="5" width="5.140625" style="350" bestFit="1" customWidth="1"/>
    <col min="6" max="6" width="4.7109375" style="350" customWidth="1"/>
    <col min="7" max="7" width="2" style="350" customWidth="1"/>
    <col min="8" max="8" width="6.28515625" style="350" customWidth="1"/>
    <col min="9" max="10" width="6.42578125" style="350" customWidth="1"/>
    <col min="11" max="11" width="8" style="350" customWidth="1"/>
    <col min="12" max="12" width="3.42578125" style="350" customWidth="1"/>
    <col min="13" max="13" width="10.85546875" style="350" customWidth="1"/>
    <col min="14" max="14" width="7" style="350" customWidth="1"/>
    <col min="15" max="16384" width="11.42578125" style="350"/>
  </cols>
  <sheetData>
    <row r="1" spans="2:15" ht="13.5" thickBot="1"/>
    <row r="2" spans="2:15" ht="13.5" thickTop="1"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3"/>
    </row>
    <row r="3" spans="2:15" ht="12.75" customHeight="1"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1467" t="s">
        <v>326</v>
      </c>
      <c r="N3" s="1467"/>
      <c r="O3" s="1468"/>
    </row>
    <row r="4" spans="2:15" ht="12.75" customHeight="1"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467"/>
      <c r="N4" s="1467"/>
      <c r="O4" s="1468"/>
    </row>
    <row r="5" spans="2:15">
      <c r="B5" s="354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1467"/>
      <c r="N5" s="1467"/>
      <c r="O5" s="1468"/>
    </row>
    <row r="6" spans="2:15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1467"/>
      <c r="N6" s="1467"/>
      <c r="O6" s="1468"/>
    </row>
    <row r="7" spans="2:15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6"/>
    </row>
    <row r="8" spans="2:15" ht="13.5" thickBo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9"/>
    </row>
    <row r="9" spans="2:15" ht="13.5" thickTop="1"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3"/>
    </row>
    <row r="10" spans="2:15" ht="15.75">
      <c r="B10" s="354"/>
      <c r="C10" s="360" t="s">
        <v>327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6"/>
    </row>
    <row r="11" spans="2:15" ht="13.5" thickBo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2:15" ht="13.5" thickBot="1">
      <c r="B12" s="354"/>
      <c r="C12" s="361" t="s">
        <v>328</v>
      </c>
      <c r="D12" s="355"/>
      <c r="E12" s="355"/>
      <c r="F12" s="1448" t="str">
        <f>DATOS!$G$7</f>
        <v>#</v>
      </c>
      <c r="G12" s="1439"/>
      <c r="H12" s="1439"/>
      <c r="I12" s="1439"/>
      <c r="J12" s="1439"/>
      <c r="K12" s="1439"/>
      <c r="L12" s="1439"/>
      <c r="M12" s="1439"/>
      <c r="N12" s="1449"/>
      <c r="O12" s="356"/>
    </row>
    <row r="13" spans="2:15" ht="13.5" thickBot="1"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6"/>
    </row>
    <row r="14" spans="2:15" ht="13.5" thickBot="1">
      <c r="B14" s="354"/>
      <c r="C14" s="362" t="s">
        <v>329</v>
      </c>
      <c r="D14" s="355"/>
      <c r="E14" s="1469" t="str">
        <f>DATOS!$G$8</f>
        <v>#</v>
      </c>
      <c r="F14" s="1470"/>
      <c r="G14" s="1470"/>
      <c r="H14" s="1470"/>
      <c r="I14" s="1470"/>
      <c r="J14" s="1470"/>
      <c r="K14" s="1470"/>
      <c r="L14" s="1470"/>
      <c r="M14" s="1470"/>
      <c r="N14" s="1471"/>
      <c r="O14" s="356"/>
    </row>
    <row r="15" spans="2:15">
      <c r="B15" s="354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2:15" ht="13.5" thickBot="1">
      <c r="B16" s="354"/>
      <c r="C16" s="363" t="s">
        <v>330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</row>
    <row r="17" spans="2:17" ht="13.5" thickBot="1">
      <c r="B17" s="354"/>
      <c r="C17" s="364"/>
      <c r="D17" s="365" t="s">
        <v>331</v>
      </c>
      <c r="E17" s="1448" t="str">
        <f>DATOS!$G$11</f>
        <v>#</v>
      </c>
      <c r="F17" s="1439"/>
      <c r="G17" s="1439"/>
      <c r="H17" s="1439"/>
      <c r="I17" s="1439"/>
      <c r="J17" s="1439"/>
      <c r="K17" s="1439"/>
      <c r="L17" s="1439"/>
      <c r="M17" s="1439"/>
      <c r="N17" s="1449"/>
      <c r="O17" s="356"/>
    </row>
    <row r="18" spans="2:17" ht="13.5" thickBot="1">
      <c r="B18" s="354"/>
      <c r="C18" s="364"/>
      <c r="D18" s="365" t="s">
        <v>332</v>
      </c>
      <c r="E18" s="355" t="str">
        <f>DATOS!$G$12</f>
        <v>#</v>
      </c>
      <c r="F18" s="364" t="s">
        <v>333</v>
      </c>
      <c r="G18" s="355"/>
      <c r="H18" s="364" t="s">
        <v>334</v>
      </c>
      <c r="I18" s="355"/>
      <c r="J18" s="364" t="s">
        <v>335</v>
      </c>
      <c r="K18" s="1450"/>
      <c r="L18" s="1450"/>
      <c r="M18" s="364"/>
      <c r="N18" s="364"/>
      <c r="O18" s="356"/>
    </row>
    <row r="19" spans="2:17" ht="13.5" thickBot="1">
      <c r="B19" s="354"/>
      <c r="C19" s="364"/>
      <c r="D19" s="365" t="s">
        <v>336</v>
      </c>
      <c r="E19" s="347"/>
      <c r="F19" s="364" t="s">
        <v>337</v>
      </c>
      <c r="G19" s="347" t="s">
        <v>39</v>
      </c>
      <c r="H19" s="364" t="s">
        <v>338</v>
      </c>
      <c r="I19" s="347"/>
      <c r="J19" s="364" t="s">
        <v>339</v>
      </c>
      <c r="K19" s="364"/>
      <c r="L19" s="347"/>
      <c r="M19" s="364"/>
      <c r="N19" s="364"/>
      <c r="O19" s="356"/>
    </row>
    <row r="20" spans="2:17" ht="13.5" thickBot="1">
      <c r="B20" s="354"/>
      <c r="C20" s="364"/>
      <c r="D20" s="365"/>
      <c r="E20" s="364"/>
      <c r="F20" s="364"/>
      <c r="G20" s="364" t="s">
        <v>340</v>
      </c>
      <c r="H20" s="364"/>
      <c r="I20" s="1440" t="s">
        <v>341</v>
      </c>
      <c r="J20" s="1440"/>
      <c r="K20" s="1440"/>
      <c r="L20" s="1440"/>
      <c r="M20" s="364"/>
      <c r="N20" s="364"/>
      <c r="O20" s="356"/>
    </row>
    <row r="21" spans="2:17" ht="13.5" thickBot="1">
      <c r="B21" s="354"/>
      <c r="C21" s="364"/>
      <c r="D21" s="365" t="s">
        <v>342</v>
      </c>
      <c r="E21" s="1451" t="str">
        <f>DATOS!$G$14</f>
        <v>#</v>
      </c>
      <c r="F21" s="1451"/>
      <c r="G21" s="364"/>
      <c r="H21" s="364" t="s">
        <v>343</v>
      </c>
      <c r="I21" s="1450" t="str">
        <f>DATOS!$G$15</f>
        <v>#</v>
      </c>
      <c r="J21" s="1450"/>
      <c r="K21" s="1450"/>
      <c r="L21" s="1450"/>
      <c r="M21" s="364"/>
      <c r="N21" s="364"/>
      <c r="O21" s="356"/>
    </row>
    <row r="22" spans="2:17" ht="13.5" thickBot="1">
      <c r="B22" s="354"/>
      <c r="C22" s="364"/>
      <c r="D22" s="365" t="s">
        <v>344</v>
      </c>
      <c r="E22" s="1439" t="str">
        <f>DATOS!$G$13</f>
        <v>#</v>
      </c>
      <c r="F22" s="1439"/>
      <c r="G22" s="1439"/>
      <c r="H22" s="1439"/>
      <c r="I22" s="1439"/>
      <c r="J22" s="1439"/>
      <c r="K22" s="1439"/>
      <c r="L22" s="1439"/>
      <c r="M22" s="364"/>
      <c r="N22" s="364"/>
      <c r="O22" s="356"/>
    </row>
    <row r="23" spans="2:17" ht="13.5" thickBot="1">
      <c r="B23" s="354"/>
      <c r="C23" s="364"/>
      <c r="D23" s="365" t="s">
        <v>345</v>
      </c>
      <c r="E23" s="349"/>
      <c r="F23" s="366" t="s">
        <v>346</v>
      </c>
      <c r="G23" s="1440"/>
      <c r="H23" s="1440"/>
      <c r="I23" s="1440"/>
      <c r="J23" s="364" t="s">
        <v>347</v>
      </c>
      <c r="K23" s="349"/>
      <c r="L23" s="366" t="s">
        <v>346</v>
      </c>
      <c r="M23" s="1444"/>
      <c r="N23" s="1445"/>
      <c r="O23" s="356"/>
    </row>
    <row r="24" spans="2:17" ht="13.5" thickBot="1">
      <c r="B24" s="354"/>
      <c r="C24" s="364"/>
      <c r="D24" s="365" t="s">
        <v>348</v>
      </c>
      <c r="E24" s="1441"/>
      <c r="F24" s="1442"/>
      <c r="G24" s="1442"/>
      <c r="H24" s="1442"/>
      <c r="I24" s="1442"/>
      <c r="J24" s="1442"/>
      <c r="K24" s="1442"/>
      <c r="L24" s="1442"/>
      <c r="M24" s="1442"/>
      <c r="N24" s="1443"/>
      <c r="O24" s="356"/>
    </row>
    <row r="25" spans="2:17" ht="13.5" thickBot="1">
      <c r="B25" s="354"/>
      <c r="C25" s="364"/>
      <c r="D25" s="365" t="s">
        <v>349</v>
      </c>
      <c r="E25" s="1441"/>
      <c r="F25" s="1442"/>
      <c r="G25" s="1442"/>
      <c r="H25" s="1442"/>
      <c r="I25" s="1442"/>
      <c r="J25" s="1442"/>
      <c r="K25" s="1442"/>
      <c r="L25" s="1442"/>
      <c r="M25" s="1442"/>
      <c r="N25" s="1443"/>
      <c r="O25" s="356"/>
    </row>
    <row r="26" spans="2:17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6"/>
    </row>
    <row r="27" spans="2:17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6"/>
      <c r="Q27" s="348"/>
    </row>
    <row r="28" spans="2:17" ht="13.5" thickBot="1">
      <c r="B28" s="354"/>
      <c r="C28" s="363" t="s">
        <v>350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6"/>
    </row>
    <row r="29" spans="2:17" ht="13.5" thickBot="1">
      <c r="B29" s="354"/>
      <c r="C29" s="364"/>
      <c r="D29" s="365" t="s">
        <v>331</v>
      </c>
      <c r="E29" s="1448" t="str">
        <f>DATOS!$G$27</f>
        <v>#</v>
      </c>
      <c r="F29" s="1439"/>
      <c r="G29" s="1439"/>
      <c r="H29" s="1439"/>
      <c r="I29" s="1439"/>
      <c r="J29" s="1439"/>
      <c r="K29" s="1439"/>
      <c r="L29" s="1439"/>
      <c r="M29" s="1439"/>
      <c r="N29" s="1449"/>
      <c r="O29" s="356"/>
    </row>
    <row r="30" spans="2:17" ht="13.5" thickBot="1">
      <c r="B30" s="354"/>
      <c r="C30" s="364"/>
      <c r="D30" s="365" t="s">
        <v>332</v>
      </c>
      <c r="E30" s="355" t="str">
        <f>DATOS!$G$28</f>
        <v>#</v>
      </c>
      <c r="F30" s="364" t="s">
        <v>333</v>
      </c>
      <c r="G30" s="355" t="s">
        <v>39</v>
      </c>
      <c r="H30" s="364" t="s">
        <v>334</v>
      </c>
      <c r="I30" s="355"/>
      <c r="J30" s="364" t="s">
        <v>335</v>
      </c>
      <c r="K30" s="1450"/>
      <c r="L30" s="1450"/>
      <c r="M30" s="364"/>
      <c r="N30" s="364"/>
      <c r="O30" s="356"/>
    </row>
    <row r="31" spans="2:17" ht="13.5" thickBot="1">
      <c r="B31" s="354"/>
      <c r="C31" s="364"/>
      <c r="D31" s="365" t="s">
        <v>336</v>
      </c>
      <c r="E31" s="347" t="s">
        <v>39</v>
      </c>
      <c r="F31" s="364" t="s">
        <v>337</v>
      </c>
      <c r="G31" s="347" t="s">
        <v>39</v>
      </c>
      <c r="H31" s="364" t="s">
        <v>338</v>
      </c>
      <c r="I31" s="349" t="str">
        <f>DATOS!$G$38</f>
        <v>#</v>
      </c>
      <c r="J31" s="364" t="s">
        <v>339</v>
      </c>
      <c r="K31" s="364"/>
      <c r="L31" s="349" t="str">
        <f>DATOS!$G$35</f>
        <v>#</v>
      </c>
      <c r="M31" s="364"/>
      <c r="N31" s="364"/>
      <c r="O31" s="356"/>
    </row>
    <row r="32" spans="2:17" ht="13.5" thickBot="1">
      <c r="B32" s="354"/>
      <c r="C32" s="364"/>
      <c r="D32" s="365"/>
      <c r="E32" s="364"/>
      <c r="F32" s="364"/>
      <c r="G32" s="364" t="s">
        <v>340</v>
      </c>
      <c r="H32" s="364"/>
      <c r="I32" s="1440" t="str">
        <f>I20</f>
        <v>BS. AS.</v>
      </c>
      <c r="J32" s="1440"/>
      <c r="K32" s="1440"/>
      <c r="L32" s="1440"/>
      <c r="M32" s="364"/>
      <c r="N32" s="364"/>
      <c r="O32" s="356"/>
    </row>
    <row r="33" spans="2:18" ht="13.5" thickBot="1">
      <c r="B33" s="354"/>
      <c r="C33" s="364"/>
      <c r="D33" s="365" t="s">
        <v>342</v>
      </c>
      <c r="E33" s="1451" t="str">
        <f>DATOS!$G$30</f>
        <v>#</v>
      </c>
      <c r="F33" s="1451"/>
      <c r="G33" s="364"/>
      <c r="H33" s="364" t="s">
        <v>343</v>
      </c>
      <c r="I33" s="1439" t="str">
        <f>DATOS!$G$31</f>
        <v>#</v>
      </c>
      <c r="J33" s="1439"/>
      <c r="K33" s="1439"/>
      <c r="L33" s="1439"/>
      <c r="M33" s="364"/>
      <c r="N33" s="364"/>
      <c r="O33" s="356"/>
    </row>
    <row r="34" spans="2:18" ht="13.5" thickBot="1">
      <c r="B34" s="354"/>
      <c r="C34" s="364"/>
      <c r="D34" s="365" t="s">
        <v>344</v>
      </c>
      <c r="E34" s="1439" t="str">
        <f>DATOS!$G$29</f>
        <v>#</v>
      </c>
      <c r="F34" s="1439"/>
      <c r="G34" s="1439"/>
      <c r="H34" s="1439"/>
      <c r="I34" s="1439"/>
      <c r="J34" s="1439"/>
      <c r="K34" s="1439"/>
      <c r="L34" s="1439"/>
      <c r="M34" s="364"/>
      <c r="N34" s="364"/>
      <c r="O34" s="356"/>
    </row>
    <row r="35" spans="2:18" ht="13.5" thickBot="1">
      <c r="B35" s="354"/>
      <c r="C35" s="364"/>
      <c r="D35" s="365" t="s">
        <v>345</v>
      </c>
      <c r="E35" s="349"/>
      <c r="F35" s="366" t="s">
        <v>346</v>
      </c>
      <c r="G35" s="1440"/>
      <c r="H35" s="1440"/>
      <c r="I35" s="1440"/>
      <c r="J35" s="364" t="s">
        <v>347</v>
      </c>
      <c r="K35" s="349"/>
      <c r="L35" s="366" t="s">
        <v>346</v>
      </c>
      <c r="M35" s="1444"/>
      <c r="N35" s="1445"/>
      <c r="O35" s="356"/>
    </row>
    <row r="36" spans="2:18" ht="13.5" thickBot="1">
      <c r="B36" s="354"/>
      <c r="C36" s="364"/>
      <c r="D36" s="365" t="s">
        <v>348</v>
      </c>
      <c r="E36" s="1441"/>
      <c r="F36" s="1442"/>
      <c r="G36" s="1442"/>
      <c r="H36" s="1442"/>
      <c r="I36" s="1442"/>
      <c r="J36" s="1442"/>
      <c r="K36" s="1442"/>
      <c r="L36" s="1442"/>
      <c r="M36" s="1442"/>
      <c r="N36" s="1443"/>
      <c r="O36" s="356"/>
    </row>
    <row r="37" spans="2:18" ht="13.5" thickBot="1">
      <c r="B37" s="354"/>
      <c r="C37" s="364"/>
      <c r="D37" s="365" t="s">
        <v>349</v>
      </c>
      <c r="E37" s="1441"/>
      <c r="F37" s="1442"/>
      <c r="G37" s="1442"/>
      <c r="H37" s="1442"/>
      <c r="I37" s="1442"/>
      <c r="J37" s="1442"/>
      <c r="K37" s="1442"/>
      <c r="L37" s="1442"/>
      <c r="M37" s="1442"/>
      <c r="N37" s="1443"/>
      <c r="O37" s="356"/>
      <c r="R37" s="350" t="s">
        <v>703</v>
      </c>
    </row>
    <row r="38" spans="2:18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6"/>
    </row>
    <row r="39" spans="2:18">
      <c r="B39" s="354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6"/>
    </row>
    <row r="40" spans="2:18" ht="14.25">
      <c r="B40" s="354"/>
      <c r="C40" s="367" t="s">
        <v>358</v>
      </c>
      <c r="D40" s="368"/>
      <c r="E40" s="1464" t="str">
        <f>DATOS!$G$18</f>
        <v>#</v>
      </c>
      <c r="F40" s="1464"/>
      <c r="G40" s="1464"/>
      <c r="H40" s="1464"/>
      <c r="I40" s="1464"/>
      <c r="J40" s="1464"/>
      <c r="K40" s="368" t="s">
        <v>359</v>
      </c>
      <c r="L40" s="368"/>
      <c r="M40" s="1452"/>
      <c r="N40" s="1453"/>
      <c r="O40" s="356"/>
    </row>
    <row r="41" spans="2:18" ht="15">
      <c r="B41" s="354"/>
      <c r="C41" s="1465" t="str">
        <f>DATOS!$G$19</f>
        <v>#</v>
      </c>
      <c r="D41" s="1466"/>
      <c r="E41" s="1457" t="s">
        <v>523</v>
      </c>
      <c r="F41" s="1457"/>
      <c r="G41" s="1457"/>
      <c r="H41" s="1457"/>
      <c r="I41" s="1438" t="s">
        <v>360</v>
      </c>
      <c r="J41" s="1438"/>
      <c r="K41" s="1459" t="s">
        <v>361</v>
      </c>
      <c r="L41" s="1460"/>
      <c r="M41" s="1454"/>
      <c r="N41" s="1455"/>
      <c r="O41" s="356"/>
    </row>
    <row r="42" spans="2:18" ht="14.25">
      <c r="B42" s="354"/>
      <c r="C42" s="1456" t="s">
        <v>362</v>
      </c>
      <c r="D42" s="1457"/>
      <c r="E42" s="1457"/>
      <c r="F42" s="1457"/>
      <c r="G42" s="1457"/>
      <c r="H42" s="1457"/>
      <c r="I42" s="1457"/>
      <c r="J42" s="1457"/>
      <c r="K42" s="1457"/>
      <c r="L42" s="1458"/>
      <c r="M42" s="1454"/>
      <c r="N42" s="1455"/>
      <c r="O42" s="356"/>
    </row>
    <row r="43" spans="2:18" ht="14.25">
      <c r="B43" s="354"/>
      <c r="C43" s="1461" t="s">
        <v>363</v>
      </c>
      <c r="D43" s="1462"/>
      <c r="E43" s="1462"/>
      <c r="F43" s="1462"/>
      <c r="G43" s="1462"/>
      <c r="H43" s="1462"/>
      <c r="I43" s="1462"/>
      <c r="J43" s="1462"/>
      <c r="K43" s="1462"/>
      <c r="L43" s="1463"/>
      <c r="M43" s="1454"/>
      <c r="N43" s="1455"/>
      <c r="O43" s="356"/>
    </row>
    <row r="44" spans="2:18" ht="14.25">
      <c r="B44" s="354"/>
      <c r="C44" s="1461" t="s">
        <v>364</v>
      </c>
      <c r="D44" s="1462"/>
      <c r="E44" s="1462"/>
      <c r="F44" s="1462"/>
      <c r="G44" s="1462"/>
      <c r="H44" s="1462"/>
      <c r="I44" s="1462"/>
      <c r="J44" s="1462"/>
      <c r="K44" s="1462"/>
      <c r="L44" s="1463"/>
      <c r="M44" s="1454"/>
      <c r="N44" s="1455"/>
      <c r="O44" s="356"/>
    </row>
    <row r="45" spans="2:18" ht="14.25">
      <c r="B45" s="354"/>
      <c r="C45" s="1456" t="s">
        <v>365</v>
      </c>
      <c r="D45" s="1457"/>
      <c r="E45" s="1457"/>
      <c r="F45" s="1457"/>
      <c r="G45" s="1457"/>
      <c r="H45" s="1457"/>
      <c r="I45" s="1457"/>
      <c r="J45" s="1457"/>
      <c r="K45" s="1457"/>
      <c r="L45" s="1458"/>
      <c r="M45" s="1454"/>
      <c r="N45" s="1455"/>
      <c r="O45" s="356"/>
    </row>
    <row r="46" spans="2:18" ht="14.25">
      <c r="B46" s="354"/>
      <c r="C46" s="369"/>
      <c r="D46" s="370"/>
      <c r="E46" s="370"/>
      <c r="F46" s="370"/>
      <c r="G46" s="370"/>
      <c r="H46" s="370"/>
      <c r="I46" s="370"/>
      <c r="J46" s="370"/>
      <c r="K46" s="370"/>
      <c r="L46" s="370"/>
      <c r="M46" s="371"/>
      <c r="N46" s="372" t="s">
        <v>366</v>
      </c>
      <c r="O46" s="356"/>
    </row>
    <row r="47" spans="2:18"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6"/>
    </row>
    <row r="48" spans="2:18" ht="13.5" thickBot="1">
      <c r="B48" s="357"/>
      <c r="C48" s="358"/>
      <c r="D48" s="358"/>
      <c r="E48" s="1446" t="s">
        <v>351</v>
      </c>
      <c r="F48" s="1446"/>
      <c r="G48" s="1446"/>
      <c r="H48" s="1446"/>
      <c r="I48" s="1446"/>
      <c r="J48" s="1446"/>
      <c r="K48" s="1446"/>
      <c r="L48" s="1446"/>
      <c r="M48" s="1446"/>
      <c r="N48" s="1446"/>
      <c r="O48" s="1447"/>
    </row>
    <row r="49" spans="2:2" ht="13.5" thickTop="1">
      <c r="B49" s="373"/>
    </row>
  </sheetData>
  <mergeCells count="34">
    <mergeCell ref="E21:F21"/>
    <mergeCell ref="I21:L21"/>
    <mergeCell ref="M3:O6"/>
    <mergeCell ref="F12:N12"/>
    <mergeCell ref="E14:N14"/>
    <mergeCell ref="E17:N17"/>
    <mergeCell ref="K18:L18"/>
    <mergeCell ref="I20:L20"/>
    <mergeCell ref="E48:O48"/>
    <mergeCell ref="E25:N25"/>
    <mergeCell ref="E29:N29"/>
    <mergeCell ref="K30:L30"/>
    <mergeCell ref="I32:L32"/>
    <mergeCell ref="E33:F33"/>
    <mergeCell ref="I33:L33"/>
    <mergeCell ref="M40:N45"/>
    <mergeCell ref="C45:L45"/>
    <mergeCell ref="K41:L41"/>
    <mergeCell ref="C42:L42"/>
    <mergeCell ref="C43:L43"/>
    <mergeCell ref="C44:L44"/>
    <mergeCell ref="E40:J40"/>
    <mergeCell ref="C41:D41"/>
    <mergeCell ref="E41:H41"/>
    <mergeCell ref="I41:J41"/>
    <mergeCell ref="E22:L22"/>
    <mergeCell ref="G23:I23"/>
    <mergeCell ref="E37:N37"/>
    <mergeCell ref="M23:N23"/>
    <mergeCell ref="E24:N24"/>
    <mergeCell ref="E34:L34"/>
    <mergeCell ref="G35:I35"/>
    <mergeCell ref="M35:N35"/>
    <mergeCell ref="E36:N36"/>
  </mergeCells>
  <phoneticPr fontId="77" type="noConversion"/>
  <pageMargins left="0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27"/>
  <sheetViews>
    <sheetView zoomScaleNormal="100" workbookViewId="0">
      <selection activeCell="E13" sqref="E13"/>
    </sheetView>
  </sheetViews>
  <sheetFormatPr baseColWidth="10" defaultColWidth="9.140625" defaultRowHeight="12.75"/>
  <cols>
    <col min="1" max="1" width="21" customWidth="1"/>
    <col min="2" max="2" width="12.42578125" customWidth="1"/>
    <col min="3" max="3" width="12.28515625" customWidth="1"/>
    <col min="4" max="4" width="19.28515625" customWidth="1"/>
    <col min="5" max="256" width="11.42578125" customWidth="1"/>
  </cols>
  <sheetData>
    <row r="1" spans="1:4">
      <c r="A1" s="650" t="s">
        <v>560</v>
      </c>
    </row>
    <row r="2" spans="1:4" ht="13.5" thickBot="1"/>
    <row r="3" spans="1:4" ht="13.5" thickBot="1">
      <c r="A3" s="654" t="s">
        <v>548</v>
      </c>
      <c r="B3" s="657" t="str">
        <f>DATOS!$J$142</f>
        <v>ERROR</v>
      </c>
    </row>
    <row r="4" spans="1:4" ht="13.5" thickBot="1">
      <c r="A4" s="655" t="s">
        <v>549</v>
      </c>
      <c r="B4" s="656" t="e">
        <f>+B3/10</f>
        <v>#VALUE!</v>
      </c>
    </row>
    <row r="5" spans="1:4" ht="13.5" thickBot="1">
      <c r="A5" s="655" t="s">
        <v>550</v>
      </c>
      <c r="B5" s="656" t="e">
        <f>DATOS!$E$152</f>
        <v>#VALUE!</v>
      </c>
    </row>
    <row r="6" spans="1:4" ht="13.5" thickBot="1">
      <c r="A6" s="655" t="s">
        <v>551</v>
      </c>
      <c r="B6" s="656" t="e">
        <f>+B3*0.0135</f>
        <v>#VALUE!</v>
      </c>
    </row>
    <row r="7" spans="1:4" ht="13.5" thickBot="1">
      <c r="A7" s="655" t="s">
        <v>552</v>
      </c>
      <c r="B7" s="664">
        <v>0</v>
      </c>
    </row>
    <row r="8" spans="1:4" ht="13.5" thickBot="1">
      <c r="A8" s="655" t="s">
        <v>553</v>
      </c>
      <c r="B8" s="664">
        <v>0</v>
      </c>
    </row>
    <row r="9" spans="1:4" ht="13.5" thickBot="1">
      <c r="A9" s="658" t="s">
        <v>561</v>
      </c>
      <c r="B9" s="664">
        <v>0</v>
      </c>
    </row>
    <row r="10" spans="1:4" ht="19.5" customHeight="1" thickBot="1">
      <c r="A10" s="659" t="s">
        <v>37</v>
      </c>
      <c r="B10" s="656" t="e">
        <f>SUM(B4:B8)</f>
        <v>#VALUE!</v>
      </c>
    </row>
    <row r="14" spans="1:4" ht="13.5" thickBot="1"/>
    <row r="15" spans="1:4" ht="13.5" thickBot="1">
      <c r="A15" s="1474" t="s">
        <v>562</v>
      </c>
      <c r="B15" s="1475"/>
      <c r="C15" s="1475"/>
      <c r="D15" s="1476"/>
    </row>
    <row r="16" spans="1:4" ht="13.5" thickBot="1">
      <c r="A16" s="661" t="s">
        <v>565</v>
      </c>
      <c r="B16" s="661" t="s">
        <v>566</v>
      </c>
      <c r="C16" s="760" t="s">
        <v>567</v>
      </c>
      <c r="D16" s="661" t="s">
        <v>568</v>
      </c>
    </row>
    <row r="17" spans="1:4">
      <c r="A17" s="651" t="s">
        <v>555</v>
      </c>
      <c r="B17" s="755"/>
      <c r="C17" s="761">
        <v>0</v>
      </c>
      <c r="D17" s="757">
        <f>+C17*B17</f>
        <v>0</v>
      </c>
    </row>
    <row r="18" spans="1:4">
      <c r="A18" s="652" t="s">
        <v>556</v>
      </c>
      <c r="B18" s="663"/>
      <c r="C18" s="761">
        <v>0</v>
      </c>
      <c r="D18" s="662">
        <f>+C18*B18</f>
        <v>0</v>
      </c>
    </row>
    <row r="19" spans="1:4">
      <c r="A19" s="652" t="s">
        <v>557</v>
      </c>
      <c r="B19" s="663"/>
      <c r="C19" s="761">
        <v>0</v>
      </c>
      <c r="D19" s="662">
        <f>+C19*B19</f>
        <v>0</v>
      </c>
    </row>
    <row r="20" spans="1:4">
      <c r="A20" s="652" t="s">
        <v>70</v>
      </c>
      <c r="B20" s="762"/>
      <c r="C20" s="761">
        <v>0</v>
      </c>
      <c r="D20" s="662">
        <f>+C20*B20</f>
        <v>0</v>
      </c>
    </row>
    <row r="21" spans="1:4">
      <c r="A21" s="652" t="s">
        <v>554</v>
      </c>
      <c r="B21" s="762"/>
      <c r="C21" s="761">
        <v>0</v>
      </c>
      <c r="D21" s="662">
        <f>+C21*B21</f>
        <v>0</v>
      </c>
    </row>
    <row r="22" spans="1:4" ht="26.25" customHeight="1">
      <c r="A22" s="653" t="s">
        <v>559</v>
      </c>
      <c r="B22" s="663"/>
      <c r="C22" s="761">
        <v>0</v>
      </c>
      <c r="D22" s="662">
        <f>+(C22/200)*B22</f>
        <v>0</v>
      </c>
    </row>
    <row r="23" spans="1:4" ht="25.5">
      <c r="A23" s="660" t="s">
        <v>558</v>
      </c>
      <c r="B23" s="665"/>
      <c r="C23" s="761">
        <v>0</v>
      </c>
      <c r="D23" s="758">
        <f>+(C23/200)*B23</f>
        <v>0</v>
      </c>
    </row>
    <row r="24" spans="1:4" ht="25.5">
      <c r="A24" s="653" t="s">
        <v>563</v>
      </c>
      <c r="B24" s="663">
        <v>0</v>
      </c>
      <c r="C24" s="761">
        <v>0</v>
      </c>
      <c r="D24" s="662">
        <f>+C24*B24</f>
        <v>0</v>
      </c>
    </row>
    <row r="25" spans="1:4" ht="25.5">
      <c r="A25" s="660" t="s">
        <v>564</v>
      </c>
      <c r="B25" s="665">
        <v>0</v>
      </c>
      <c r="C25" s="761">
        <v>0</v>
      </c>
      <c r="D25" s="662">
        <f>+C25*B25</f>
        <v>0</v>
      </c>
    </row>
    <row r="26" spans="1:4" ht="18" customHeight="1" thickBot="1">
      <c r="A26" s="667" t="s">
        <v>270</v>
      </c>
      <c r="B26" s="756">
        <v>0</v>
      </c>
      <c r="C26" s="761">
        <v>0</v>
      </c>
      <c r="D26" s="759">
        <f>+C26*B26</f>
        <v>0</v>
      </c>
    </row>
    <row r="27" spans="1:4" ht="19.5" customHeight="1" thickBot="1">
      <c r="B27" s="1472" t="s">
        <v>37</v>
      </c>
      <c r="C27" s="1473"/>
      <c r="D27" s="666">
        <f>SUM(D19:D23)</f>
        <v>0</v>
      </c>
    </row>
  </sheetData>
  <sheetProtection sheet="1" objects="1" scenarios="1"/>
  <mergeCells count="2">
    <mergeCell ref="B27:C27"/>
    <mergeCell ref="A15:D1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F87"/>
  <sheetViews>
    <sheetView topLeftCell="A24" zoomScale="85" zoomScaleNormal="85" workbookViewId="0">
      <selection activeCell="W3" sqref="W3"/>
    </sheetView>
  </sheetViews>
  <sheetFormatPr baseColWidth="10" defaultColWidth="11.42578125" defaultRowHeight="12.75"/>
  <cols>
    <col min="1" max="1" width="9" style="350" customWidth="1"/>
    <col min="2" max="4" width="4" style="350" customWidth="1"/>
    <col min="5" max="5" width="2" style="350" customWidth="1"/>
    <col min="6" max="11" width="4" style="350" customWidth="1"/>
    <col min="12" max="12" width="6.42578125" style="350" customWidth="1"/>
    <col min="13" max="13" width="4" style="350" customWidth="1"/>
    <col min="14" max="14" width="6.7109375" style="350" customWidth="1"/>
    <col min="15" max="15" width="6" style="350" customWidth="1"/>
    <col min="16" max="16" width="5" style="350" customWidth="1"/>
    <col min="17" max="20" width="4" style="350" customWidth="1"/>
    <col min="21" max="21" width="7" style="350" customWidth="1"/>
    <col min="22" max="22" width="2.42578125" style="350" customWidth="1"/>
    <col min="23" max="23" width="4.140625" style="350" customWidth="1"/>
    <col min="24" max="24" width="3.85546875" style="350" customWidth="1"/>
    <col min="25" max="25" width="2.85546875" style="350" customWidth="1"/>
    <col min="26" max="26" width="3.5703125" style="350" customWidth="1"/>
    <col min="27" max="27" width="2.140625" style="350" customWidth="1"/>
    <col min="28" max="28" width="2.7109375" style="350" customWidth="1"/>
    <col min="29" max="16384" width="11.42578125" style="350"/>
  </cols>
  <sheetData>
    <row r="1" spans="1:27" ht="36.75" customHeight="1">
      <c r="A1" s="376"/>
      <c r="B1" s="377"/>
      <c r="C1" s="378"/>
      <c r="D1" s="1508" t="s">
        <v>373</v>
      </c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  <c r="P1" s="1508"/>
      <c r="Q1" s="1508"/>
      <c r="R1" s="1508"/>
      <c r="S1" s="1508"/>
      <c r="T1" s="1508"/>
      <c r="U1" s="1509"/>
      <c r="V1" s="1510" t="s">
        <v>374</v>
      </c>
      <c r="W1" s="1511"/>
      <c r="X1" s="377">
        <v>2</v>
      </c>
      <c r="Y1" s="379"/>
    </row>
    <row r="2" spans="1:27" ht="17.25" customHeight="1">
      <c r="A2" s="380"/>
      <c r="B2" s="381"/>
      <c r="C2" s="38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3"/>
      <c r="V2" s="1514" t="s">
        <v>105</v>
      </c>
      <c r="W2" s="1515"/>
      <c r="X2" s="381">
        <v>2</v>
      </c>
      <c r="Y2" s="383"/>
    </row>
    <row r="3" spans="1:27" ht="26.25" customHeight="1">
      <c r="A3" s="380"/>
      <c r="B3" s="381"/>
      <c r="C3" s="384"/>
      <c r="D3" s="1512" t="s">
        <v>375</v>
      </c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3"/>
      <c r="V3" s="385"/>
      <c r="W3" s="386"/>
      <c r="X3" s="387"/>
      <c r="Y3" s="383"/>
    </row>
    <row r="4" spans="1:27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7" ht="16.5" thickBot="1">
      <c r="A5" s="451" t="s">
        <v>376</v>
      </c>
      <c r="B5" s="394"/>
      <c r="C5" s="395"/>
      <c r="D5" s="1516" t="s">
        <v>377</v>
      </c>
      <c r="E5" s="1517"/>
      <c r="F5" s="1518" t="str">
        <f>DATOS!$G$27</f>
        <v>#</v>
      </c>
      <c r="G5" s="1505"/>
      <c r="H5" s="1505"/>
      <c r="I5" s="1505"/>
      <c r="J5" s="1505"/>
      <c r="K5" s="1505"/>
      <c r="L5" s="1505"/>
      <c r="M5" s="397" t="s">
        <v>378</v>
      </c>
      <c r="N5" s="396" t="str">
        <f>DATOS!$G$28</f>
        <v>#</v>
      </c>
      <c r="O5" s="398" t="s">
        <v>337</v>
      </c>
      <c r="P5" s="1505" t="str">
        <f>DATOS!$G$37</f>
        <v>#</v>
      </c>
      <c r="Q5" s="1505"/>
      <c r="R5" s="1519" t="s">
        <v>379</v>
      </c>
      <c r="S5" s="1519"/>
      <c r="T5" s="1505" t="str">
        <f>DATOS!$G$38</f>
        <v>#</v>
      </c>
      <c r="U5" s="1505"/>
      <c r="V5" s="399"/>
      <c r="W5" s="399"/>
      <c r="X5" s="399"/>
      <c r="Y5" s="400"/>
      <c r="Z5" s="401"/>
    </row>
    <row r="6" spans="1:27" ht="12.75" customHeight="1" thickBot="1">
      <c r="A6" s="1520" t="s">
        <v>380</v>
      </c>
      <c r="B6" s="1521"/>
      <c r="C6" s="1521"/>
      <c r="D6" s="1522" t="str">
        <f>DATOS!$G$29</f>
        <v>#</v>
      </c>
      <c r="E6" s="1522"/>
      <c r="F6" s="1522"/>
      <c r="G6" s="1522"/>
      <c r="H6" s="1522"/>
      <c r="I6" s="1522"/>
      <c r="J6" s="1522"/>
      <c r="K6" s="1522"/>
      <c r="L6" s="402" t="s">
        <v>381</v>
      </c>
      <c r="M6" s="1505" t="str">
        <f>DATOS!$G$30</f>
        <v>#</v>
      </c>
      <c r="N6" s="152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7" ht="12.75" customHeight="1">
      <c r="A7" s="1524"/>
      <c r="B7" s="1525"/>
      <c r="C7" s="1525"/>
      <c r="D7" s="1525"/>
      <c r="E7" s="1525"/>
      <c r="F7" s="1525"/>
      <c r="G7" s="1525"/>
      <c r="H7" s="1525"/>
      <c r="I7" s="1525"/>
      <c r="J7" s="1525"/>
      <c r="K7" s="1525"/>
      <c r="L7" s="1525"/>
      <c r="M7" s="1525"/>
      <c r="N7" s="1525"/>
      <c r="O7" s="1525"/>
      <c r="P7" s="1525"/>
      <c r="Q7" s="1525"/>
      <c r="R7" s="1525"/>
      <c r="S7" s="1525"/>
      <c r="T7" s="1525"/>
      <c r="U7" s="1525"/>
      <c r="V7" s="1525"/>
      <c r="W7" s="1525"/>
      <c r="X7" s="1525"/>
      <c r="Y7" s="1526"/>
    </row>
    <row r="8" spans="1:27" ht="12.75" customHeight="1">
      <c r="A8" s="1524"/>
      <c r="B8" s="1525"/>
      <c r="C8" s="1525"/>
      <c r="D8" s="1525"/>
      <c r="E8" s="1525"/>
      <c r="F8" s="1525"/>
      <c r="G8" s="1525"/>
      <c r="H8" s="1525"/>
      <c r="I8" s="1525"/>
      <c r="J8" s="1525"/>
      <c r="K8" s="1525"/>
      <c r="L8" s="1525"/>
      <c r="M8" s="1525"/>
      <c r="N8" s="1525"/>
      <c r="O8" s="1525"/>
      <c r="P8" s="1525"/>
      <c r="Q8" s="1525"/>
      <c r="R8" s="1525"/>
      <c r="S8" s="1525"/>
      <c r="T8" s="1525"/>
      <c r="U8" s="1525"/>
      <c r="V8" s="1525"/>
      <c r="W8" s="1525"/>
      <c r="X8" s="1525"/>
      <c r="Y8" s="1526"/>
    </row>
    <row r="9" spans="1:27" ht="12.75" customHeight="1">
      <c r="A9" s="1524"/>
      <c r="B9" s="1525"/>
      <c r="C9" s="1525"/>
      <c r="D9" s="1525"/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6"/>
    </row>
    <row r="10" spans="1:27" ht="12.75" customHeight="1">
      <c r="A10" s="1524"/>
      <c r="B10" s="1525"/>
      <c r="C10" s="1525"/>
      <c r="D10" s="1525"/>
      <c r="E10" s="1525"/>
      <c r="F10" s="1525"/>
      <c r="G10" s="1525"/>
      <c r="H10" s="1525"/>
      <c r="I10" s="1525"/>
      <c r="J10" s="1525"/>
      <c r="K10" s="1525"/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1525"/>
      <c r="Y10" s="1526"/>
    </row>
    <row r="11" spans="1:27" ht="12.75" customHeight="1">
      <c r="A11" s="1524"/>
      <c r="B11" s="1525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6"/>
      <c r="Z11" s="405"/>
      <c r="AA11" s="405"/>
    </row>
    <row r="12" spans="1:27" ht="12.75" customHeight="1">
      <c r="A12" s="1524"/>
      <c r="B12" s="1525"/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6"/>
    </row>
    <row r="13" spans="1:27" ht="12.75" customHeight="1">
      <c r="A13" s="1524"/>
      <c r="B13" s="1525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6"/>
    </row>
    <row r="14" spans="1:27" ht="12.75" customHeight="1">
      <c r="A14" s="1524"/>
      <c r="B14" s="1525"/>
      <c r="C14" s="1525"/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/>
      <c r="P14" s="1525"/>
      <c r="Q14" s="1525"/>
      <c r="R14" s="1525"/>
      <c r="S14" s="1525"/>
      <c r="T14" s="1525"/>
      <c r="U14" s="1525"/>
      <c r="V14" s="1525"/>
      <c r="W14" s="1525"/>
      <c r="X14" s="1525"/>
      <c r="Y14" s="1526"/>
    </row>
    <row r="15" spans="1:27" ht="12.75" customHeight="1">
      <c r="A15" s="1524"/>
      <c r="B15" s="1525"/>
      <c r="C15" s="1525"/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6"/>
    </row>
    <row r="16" spans="1:27" ht="12.75" customHeight="1">
      <c r="A16" s="1524"/>
      <c r="B16" s="1525"/>
      <c r="C16" s="1525"/>
      <c r="D16" s="1525"/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6"/>
    </row>
    <row r="17" spans="1:25" ht="12.75" customHeight="1">
      <c r="A17" s="1524"/>
      <c r="B17" s="1525"/>
      <c r="C17" s="1525"/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6"/>
    </row>
    <row r="18" spans="1:25" ht="12.75" customHeight="1">
      <c r="A18" s="1524"/>
      <c r="B18" s="1525"/>
      <c r="C18" s="1525"/>
      <c r="D18" s="1525"/>
      <c r="E18" s="1525"/>
      <c r="F18" s="1525"/>
      <c r="G18" s="1525"/>
      <c r="H18" s="1525"/>
      <c r="I18" s="1525"/>
      <c r="J18" s="1525"/>
      <c r="K18" s="1525"/>
      <c r="L18" s="1525"/>
      <c r="M18" s="1525"/>
      <c r="N18" s="1525"/>
      <c r="O18" s="1525"/>
      <c r="P18" s="1525"/>
      <c r="Q18" s="1525"/>
      <c r="R18" s="1525"/>
      <c r="S18" s="1525"/>
      <c r="T18" s="1525"/>
      <c r="U18" s="1525"/>
      <c r="V18" s="1525"/>
      <c r="W18" s="1525"/>
      <c r="X18" s="1525"/>
      <c r="Y18" s="1526"/>
    </row>
    <row r="19" spans="1:25" ht="12.75" customHeight="1">
      <c r="A19" s="1524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6"/>
    </row>
    <row r="20" spans="1:25" ht="12.75" customHeight="1">
      <c r="A20" s="1524"/>
      <c r="B20" s="1525"/>
      <c r="C20" s="1525"/>
      <c r="D20" s="1525"/>
      <c r="E20" s="1525"/>
      <c r="F20" s="1525"/>
      <c r="G20" s="1525"/>
      <c r="H20" s="1525"/>
      <c r="I20" s="1525"/>
      <c r="J20" s="1525"/>
      <c r="K20" s="1525"/>
      <c r="L20" s="1525"/>
      <c r="M20" s="1525"/>
      <c r="N20" s="1525"/>
      <c r="O20" s="1525"/>
      <c r="P20" s="1525"/>
      <c r="Q20" s="1525"/>
      <c r="R20" s="1525"/>
      <c r="S20" s="1525"/>
      <c r="T20" s="1525"/>
      <c r="U20" s="1525"/>
      <c r="V20" s="1525"/>
      <c r="W20" s="1525"/>
      <c r="X20" s="1525"/>
      <c r="Y20" s="1526"/>
    </row>
    <row r="21" spans="1:25" ht="12.75" customHeight="1">
      <c r="A21" s="1524"/>
      <c r="B21" s="1525"/>
      <c r="C21" s="1525"/>
      <c r="D21" s="1525"/>
      <c r="E21" s="1525"/>
      <c r="F21" s="1525"/>
      <c r="G21" s="1525"/>
      <c r="H21" s="1525"/>
      <c r="I21" s="1525"/>
      <c r="J21" s="1525"/>
      <c r="K21" s="1525"/>
      <c r="L21" s="1525"/>
      <c r="M21" s="1525"/>
      <c r="N21" s="1525"/>
      <c r="O21" s="1525"/>
      <c r="P21" s="1525"/>
      <c r="Q21" s="1525"/>
      <c r="R21" s="1525"/>
      <c r="S21" s="1525"/>
      <c r="T21" s="1525"/>
      <c r="U21" s="1525"/>
      <c r="V21" s="1525"/>
      <c r="W21" s="1525"/>
      <c r="X21" s="1525"/>
      <c r="Y21" s="1526"/>
    </row>
    <row r="22" spans="1:25" ht="12.75" customHeight="1">
      <c r="A22" s="1524"/>
      <c r="B22" s="1525"/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6"/>
    </row>
    <row r="23" spans="1:25" ht="12.75" customHeight="1">
      <c r="A23" s="1524"/>
      <c r="B23" s="1525"/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6"/>
    </row>
    <row r="24" spans="1:25" ht="12.75" customHeight="1">
      <c r="A24" s="1524"/>
      <c r="B24" s="1525"/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6"/>
    </row>
    <row r="25" spans="1:25" ht="12.75" customHeight="1">
      <c r="A25" s="1524"/>
      <c r="B25" s="1525"/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5"/>
      <c r="R25" s="1525"/>
      <c r="S25" s="1525"/>
      <c r="T25" s="1525"/>
      <c r="U25" s="1525"/>
      <c r="V25" s="1525"/>
      <c r="W25" s="1525"/>
      <c r="X25" s="1525"/>
      <c r="Y25" s="1526"/>
    </row>
    <row r="26" spans="1:25" ht="12.75" customHeight="1">
      <c r="A26" s="1524"/>
      <c r="B26" s="1525"/>
      <c r="C26" s="1525"/>
      <c r="D26" s="1525"/>
      <c r="E26" s="1525"/>
      <c r="F26" s="1525"/>
      <c r="G26" s="1525"/>
      <c r="H26" s="1525"/>
      <c r="I26" s="1525"/>
      <c r="J26" s="1525"/>
      <c r="K26" s="1525"/>
      <c r="L26" s="1525"/>
      <c r="M26" s="1525"/>
      <c r="N26" s="1525"/>
      <c r="O26" s="1525"/>
      <c r="P26" s="1525"/>
      <c r="Q26" s="1525"/>
      <c r="R26" s="1525"/>
      <c r="S26" s="1525"/>
      <c r="T26" s="1525"/>
      <c r="U26" s="1525"/>
      <c r="V26" s="1525"/>
      <c r="W26" s="1525"/>
      <c r="X26" s="1525"/>
      <c r="Y26" s="1526"/>
    </row>
    <row r="27" spans="1:25" ht="12.75" customHeight="1">
      <c r="A27" s="1524"/>
      <c r="B27" s="1525"/>
      <c r="C27" s="1525"/>
      <c r="D27" s="1525"/>
      <c r="E27" s="1525"/>
      <c r="F27" s="1525"/>
      <c r="G27" s="1525"/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6"/>
    </row>
    <row r="28" spans="1:25" ht="12.75" customHeight="1">
      <c r="A28" s="1524"/>
      <c r="B28" s="1525"/>
      <c r="C28" s="1525"/>
      <c r="D28" s="1525"/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6"/>
    </row>
    <row r="29" spans="1:25" ht="12.75" customHeight="1">
      <c r="A29" s="1524"/>
      <c r="B29" s="1525"/>
      <c r="C29" s="1525"/>
      <c r="D29" s="1525"/>
      <c r="E29" s="1525"/>
      <c r="F29" s="1525"/>
      <c r="G29" s="1525"/>
      <c r="H29" s="1525"/>
      <c r="I29" s="1525"/>
      <c r="J29" s="1525"/>
      <c r="K29" s="1525"/>
      <c r="L29" s="1525"/>
      <c r="M29" s="1525"/>
      <c r="N29" s="1525"/>
      <c r="O29" s="1525"/>
      <c r="P29" s="1525"/>
      <c r="Q29" s="1525"/>
      <c r="R29" s="1525"/>
      <c r="S29" s="1525"/>
      <c r="T29" s="1525"/>
      <c r="U29" s="1525"/>
      <c r="V29" s="1525"/>
      <c r="W29" s="1525"/>
      <c r="X29" s="1525"/>
      <c r="Y29" s="1526"/>
    </row>
    <row r="30" spans="1:25" ht="12.75" customHeight="1">
      <c r="A30" s="1524"/>
      <c r="B30" s="1525"/>
      <c r="C30" s="1525"/>
      <c r="D30" s="1525"/>
      <c r="E30" s="1525"/>
      <c r="F30" s="1525"/>
      <c r="G30" s="1525"/>
      <c r="H30" s="1525"/>
      <c r="I30" s="1525"/>
      <c r="J30" s="1525"/>
      <c r="K30" s="1525"/>
      <c r="L30" s="1525"/>
      <c r="M30" s="1525"/>
      <c r="N30" s="1525"/>
      <c r="O30" s="1525"/>
      <c r="P30" s="1525"/>
      <c r="Q30" s="1525"/>
      <c r="R30" s="1525"/>
      <c r="S30" s="1525"/>
      <c r="T30" s="1525"/>
      <c r="U30" s="1525"/>
      <c r="V30" s="1525"/>
      <c r="W30" s="1525"/>
      <c r="X30" s="1525"/>
      <c r="Y30" s="1526"/>
    </row>
    <row r="31" spans="1:25" ht="12.75" customHeight="1">
      <c r="A31" s="1524"/>
      <c r="B31" s="1525"/>
      <c r="C31" s="1525"/>
      <c r="D31" s="1525"/>
      <c r="E31" s="1525"/>
      <c r="F31" s="1525"/>
      <c r="G31" s="1525"/>
      <c r="H31" s="1525"/>
      <c r="I31" s="1525"/>
      <c r="J31" s="1525"/>
      <c r="K31" s="1525"/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6"/>
    </row>
    <row r="32" spans="1:25" ht="12.75" customHeight="1">
      <c r="A32" s="1524"/>
      <c r="B32" s="1525"/>
      <c r="C32" s="1525"/>
      <c r="D32" s="1525"/>
      <c r="E32" s="1525"/>
      <c r="F32" s="1525"/>
      <c r="G32" s="1525"/>
      <c r="H32" s="1525"/>
      <c r="I32" s="1525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6"/>
    </row>
    <row r="33" spans="1:32" ht="12.75" customHeight="1">
      <c r="A33" s="1524"/>
      <c r="B33" s="1525"/>
      <c r="C33" s="1525"/>
      <c r="D33" s="1525"/>
      <c r="E33" s="1525"/>
      <c r="F33" s="1525"/>
      <c r="G33" s="1525"/>
      <c r="H33" s="1525"/>
      <c r="I33" s="1525"/>
      <c r="J33" s="1525"/>
      <c r="K33" s="1525"/>
      <c r="L33" s="1525"/>
      <c r="M33" s="1525"/>
      <c r="N33" s="1525"/>
      <c r="O33" s="1525"/>
      <c r="P33" s="1525"/>
      <c r="Q33" s="1525"/>
      <c r="R33" s="1525"/>
      <c r="S33" s="1525"/>
      <c r="T33" s="1525"/>
      <c r="U33" s="1525"/>
      <c r="V33" s="1525"/>
      <c r="W33" s="1525"/>
      <c r="X33" s="1525"/>
      <c r="Y33" s="1526"/>
    </row>
    <row r="34" spans="1:32" ht="12.75" customHeight="1">
      <c r="A34" s="1524"/>
      <c r="B34" s="1525"/>
      <c r="C34" s="1525"/>
      <c r="D34" s="1525"/>
      <c r="E34" s="1525"/>
      <c r="F34" s="1525"/>
      <c r="G34" s="1525"/>
      <c r="H34" s="1525"/>
      <c r="I34" s="1525"/>
      <c r="J34" s="1525"/>
      <c r="K34" s="1525"/>
      <c r="L34" s="1525"/>
      <c r="M34" s="1525"/>
      <c r="N34" s="1525"/>
      <c r="O34" s="1525"/>
      <c r="P34" s="1525"/>
      <c r="Q34" s="1525"/>
      <c r="R34" s="1525"/>
      <c r="S34" s="1525"/>
      <c r="T34" s="1525"/>
      <c r="U34" s="1525"/>
      <c r="V34" s="1525"/>
      <c r="W34" s="1525"/>
      <c r="X34" s="1525"/>
      <c r="Y34" s="1526"/>
    </row>
    <row r="35" spans="1:32" ht="12.75" customHeight="1">
      <c r="A35" s="1524"/>
      <c r="B35" s="1525"/>
      <c r="C35" s="1525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5"/>
      <c r="Q35" s="1525"/>
      <c r="R35" s="1525"/>
      <c r="S35" s="1525"/>
      <c r="T35" s="1525"/>
      <c r="U35" s="1525"/>
      <c r="V35" s="1525"/>
      <c r="W35" s="1525"/>
      <c r="X35" s="1525"/>
      <c r="Y35" s="1526"/>
    </row>
    <row r="36" spans="1:32" ht="12.75" customHeight="1">
      <c r="A36" s="1524"/>
      <c r="B36" s="1525"/>
      <c r="C36" s="1525"/>
      <c r="D36" s="1525"/>
      <c r="E36" s="1525"/>
      <c r="F36" s="1525"/>
      <c r="G36" s="1525"/>
      <c r="H36" s="1525"/>
      <c r="I36" s="1525"/>
      <c r="J36" s="1525"/>
      <c r="K36" s="1525"/>
      <c r="L36" s="1525"/>
      <c r="M36" s="1525"/>
      <c r="N36" s="1525"/>
      <c r="O36" s="1525"/>
      <c r="P36" s="1525"/>
      <c r="Q36" s="1525"/>
      <c r="R36" s="1525"/>
      <c r="S36" s="1525"/>
      <c r="T36" s="1525"/>
      <c r="U36" s="1525"/>
      <c r="V36" s="1525"/>
      <c r="W36" s="1525"/>
      <c r="X36" s="1525"/>
      <c r="Y36" s="1526"/>
    </row>
    <row r="37" spans="1:32" ht="12.75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6"/>
    </row>
    <row r="38" spans="1:32" ht="12.75" customHeight="1">
      <c r="A38" s="1524"/>
      <c r="B38" s="1525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5"/>
      <c r="Q38" s="1525"/>
      <c r="R38" s="1525"/>
      <c r="S38" s="1525"/>
      <c r="T38" s="1525"/>
      <c r="U38" s="1525"/>
      <c r="V38" s="1525"/>
      <c r="W38" s="1525"/>
      <c r="X38" s="1525"/>
      <c r="Y38" s="1526"/>
    </row>
    <row r="39" spans="1:32" ht="12.75" customHeight="1">
      <c r="A39" s="1524"/>
      <c r="B39" s="1525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5"/>
      <c r="Q39" s="1525"/>
      <c r="R39" s="1525"/>
      <c r="S39" s="1525"/>
      <c r="T39" s="1525"/>
      <c r="U39" s="1525"/>
      <c r="V39" s="1525"/>
      <c r="W39" s="1525"/>
      <c r="X39" s="1525"/>
      <c r="Y39" s="1526"/>
    </row>
    <row r="40" spans="1:32" ht="12.75" customHeight="1">
      <c r="A40" s="1524"/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6"/>
    </row>
    <row r="41" spans="1:32" ht="12.75" customHeight="1">
      <c r="A41" s="1524"/>
      <c r="B41" s="1525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5"/>
      <c r="Q41" s="1525"/>
      <c r="R41" s="1525"/>
      <c r="S41" s="1525"/>
      <c r="T41" s="1525"/>
      <c r="U41" s="1525"/>
      <c r="V41" s="1525"/>
      <c r="W41" s="1525"/>
      <c r="X41" s="1525"/>
      <c r="Y41" s="1526"/>
    </row>
    <row r="42" spans="1:32" ht="12.75" customHeight="1">
      <c r="A42" s="1524"/>
      <c r="B42" s="1525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5"/>
      <c r="Q42" s="1525"/>
      <c r="R42" s="1525"/>
      <c r="S42" s="1525"/>
      <c r="T42" s="1525"/>
      <c r="U42" s="1525"/>
      <c r="V42" s="1525"/>
      <c r="W42" s="1525"/>
      <c r="X42" s="1525"/>
      <c r="Y42" s="1526"/>
    </row>
    <row r="43" spans="1:32" ht="12.75" customHeight="1">
      <c r="A43" s="1524"/>
      <c r="B43" s="1525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5"/>
      <c r="Q43" s="1525"/>
      <c r="R43" s="1525"/>
      <c r="S43" s="1525"/>
      <c r="T43" s="1525"/>
      <c r="U43" s="1525"/>
      <c r="V43" s="1525"/>
      <c r="W43" s="1525"/>
      <c r="X43" s="1525"/>
      <c r="Y43" s="1526"/>
    </row>
    <row r="44" spans="1:32" ht="12.75" customHeight="1">
      <c r="A44" s="1524"/>
      <c r="B44" s="1525"/>
      <c r="C44" s="1525"/>
      <c r="D44" s="1525"/>
      <c r="E44" s="1525"/>
      <c r="F44" s="1525"/>
      <c r="G44" s="1525"/>
      <c r="H44" s="1525"/>
      <c r="I44" s="1525"/>
      <c r="J44" s="1525"/>
      <c r="K44" s="1525"/>
      <c r="L44" s="1525"/>
      <c r="M44" s="1525"/>
      <c r="N44" s="1525"/>
      <c r="O44" s="1525"/>
      <c r="P44" s="1525"/>
      <c r="Q44" s="1525"/>
      <c r="R44" s="1525"/>
      <c r="S44" s="1525"/>
      <c r="T44" s="1525"/>
      <c r="U44" s="1525"/>
      <c r="V44" s="1525"/>
      <c r="W44" s="1525"/>
      <c r="X44" s="1525"/>
      <c r="Y44" s="1526"/>
      <c r="AF44" s="387"/>
    </row>
    <row r="45" spans="1:32" ht="12.75" customHeight="1">
      <c r="A45" s="1524"/>
      <c r="B45" s="1525"/>
      <c r="C45" s="1525"/>
      <c r="D45" s="1525"/>
      <c r="E45" s="1525"/>
      <c r="F45" s="1525"/>
      <c r="G45" s="1525"/>
      <c r="H45" s="1525"/>
      <c r="I45" s="1525"/>
      <c r="J45" s="1525"/>
      <c r="K45" s="1525"/>
      <c r="L45" s="1525"/>
      <c r="M45" s="1525"/>
      <c r="N45" s="1525"/>
      <c r="O45" s="1525"/>
      <c r="P45" s="1525"/>
      <c r="Q45" s="1525"/>
      <c r="R45" s="1525"/>
      <c r="S45" s="1525"/>
      <c r="T45" s="1525"/>
      <c r="U45" s="1525"/>
      <c r="V45" s="1525"/>
      <c r="W45" s="1525"/>
      <c r="X45" s="1525"/>
      <c r="Y45" s="1526"/>
    </row>
    <row r="46" spans="1:32" ht="15" customHeight="1">
      <c r="A46" s="1524"/>
      <c r="B46" s="1525"/>
      <c r="C46" s="1525"/>
      <c r="D46" s="1525"/>
      <c r="E46" s="1525"/>
      <c r="F46" s="1525"/>
      <c r="G46" s="1525"/>
      <c r="H46" s="1525"/>
      <c r="I46" s="1525"/>
      <c r="J46" s="1525"/>
      <c r="K46" s="1525"/>
      <c r="L46" s="1525"/>
      <c r="M46" s="1525"/>
      <c r="N46" s="1525"/>
      <c r="O46" s="1525"/>
      <c r="P46" s="1525"/>
      <c r="Q46" s="1525"/>
      <c r="R46" s="1525"/>
      <c r="S46" s="1525"/>
      <c r="T46" s="1525"/>
      <c r="U46" s="1525"/>
      <c r="V46" s="1525"/>
      <c r="W46" s="1525"/>
      <c r="X46" s="1525"/>
      <c r="Y46" s="1526"/>
    </row>
    <row r="47" spans="1:32" ht="15" customHeight="1">
      <c r="A47" s="1524"/>
      <c r="B47" s="1525"/>
      <c r="C47" s="1525"/>
      <c r="D47" s="1525"/>
      <c r="E47" s="1525"/>
      <c r="F47" s="1525"/>
      <c r="G47" s="1525"/>
      <c r="H47" s="1525"/>
      <c r="I47" s="1525"/>
      <c r="J47" s="1525"/>
      <c r="K47" s="1525"/>
      <c r="L47" s="1525"/>
      <c r="M47" s="1525"/>
      <c r="N47" s="1525"/>
      <c r="O47" s="1525"/>
      <c r="P47" s="1525"/>
      <c r="Q47" s="1525"/>
      <c r="R47" s="1525"/>
      <c r="S47" s="1525"/>
      <c r="T47" s="1525"/>
      <c r="U47" s="1525"/>
      <c r="V47" s="1525"/>
      <c r="W47" s="1525"/>
      <c r="X47" s="1525"/>
      <c r="Y47" s="1526"/>
    </row>
    <row r="48" spans="1:32" ht="15" customHeight="1">
      <c r="A48" s="1524"/>
      <c r="B48" s="1525"/>
      <c r="C48" s="1525"/>
      <c r="D48" s="1525"/>
      <c r="E48" s="1525"/>
      <c r="F48" s="1525"/>
      <c r="G48" s="1525"/>
      <c r="H48" s="1525"/>
      <c r="I48" s="1525"/>
      <c r="J48" s="1525"/>
      <c r="K48" s="1525"/>
      <c r="L48" s="1525"/>
      <c r="M48" s="1525"/>
      <c r="N48" s="1525"/>
      <c r="O48" s="1525"/>
      <c r="P48" s="1525"/>
      <c r="Q48" s="1525"/>
      <c r="R48" s="1525"/>
      <c r="S48" s="1525"/>
      <c r="T48" s="1525"/>
      <c r="U48" s="1525"/>
      <c r="V48" s="1525"/>
      <c r="W48" s="1525"/>
      <c r="X48" s="1525"/>
      <c r="Y48" s="1526"/>
    </row>
    <row r="49" spans="1:25" ht="15" customHeight="1">
      <c r="A49" s="1524"/>
      <c r="B49" s="1525"/>
      <c r="C49" s="1525"/>
      <c r="D49" s="1525"/>
      <c r="E49" s="1525"/>
      <c r="F49" s="1525"/>
      <c r="G49" s="1525"/>
      <c r="H49" s="1525"/>
      <c r="I49" s="1525"/>
      <c r="J49" s="1525"/>
      <c r="K49" s="1525"/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6"/>
    </row>
    <row r="50" spans="1:25" ht="15" customHeight="1">
      <c r="A50" s="1524"/>
      <c r="B50" s="1525"/>
      <c r="C50" s="1525"/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  <c r="V50" s="1525"/>
      <c r="W50" s="1525"/>
      <c r="X50" s="1525"/>
      <c r="Y50" s="1526"/>
    </row>
    <row r="51" spans="1:25" ht="15" customHeight="1">
      <c r="A51" s="1524"/>
      <c r="B51" s="1525"/>
      <c r="C51" s="1525"/>
      <c r="D51" s="1525"/>
      <c r="E51" s="1525"/>
      <c r="F51" s="1525"/>
      <c r="G51" s="1525"/>
      <c r="H51" s="1525"/>
      <c r="I51" s="1525"/>
      <c r="J51" s="1525"/>
      <c r="K51" s="1525"/>
      <c r="L51" s="1525"/>
      <c r="M51" s="1525"/>
      <c r="N51" s="1525"/>
      <c r="O51" s="1525"/>
      <c r="P51" s="1525"/>
      <c r="Q51" s="1525"/>
      <c r="R51" s="1525"/>
      <c r="S51" s="1525"/>
      <c r="T51" s="1525"/>
      <c r="U51" s="1525"/>
      <c r="V51" s="1525"/>
      <c r="W51" s="1525"/>
      <c r="X51" s="1525"/>
      <c r="Y51" s="1526"/>
    </row>
    <row r="52" spans="1:25" ht="15" customHeight="1">
      <c r="A52" s="1524"/>
      <c r="B52" s="1525"/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6"/>
    </row>
    <row r="53" spans="1:25" ht="15" customHeight="1">
      <c r="A53" s="1524"/>
      <c r="B53" s="1525"/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6"/>
    </row>
    <row r="54" spans="1:25" ht="15" customHeight="1">
      <c r="A54" s="1524"/>
      <c r="B54" s="1525"/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6"/>
    </row>
    <row r="55" spans="1:25" ht="15" customHeight="1">
      <c r="A55" s="1524"/>
      <c r="B55" s="1525"/>
      <c r="C55" s="1525"/>
      <c r="D55" s="1525"/>
      <c r="E55" s="1525"/>
      <c r="F55" s="1525"/>
      <c r="G55" s="1525"/>
      <c r="H55" s="1525"/>
      <c r="I55" s="1525"/>
      <c r="J55" s="1525"/>
      <c r="K55" s="1525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5"/>
      <c r="X55" s="1525"/>
      <c r="Y55" s="1526"/>
    </row>
    <row r="56" spans="1:25" ht="15" customHeight="1">
      <c r="A56" s="1524"/>
      <c r="B56" s="1525"/>
      <c r="C56" s="1525"/>
      <c r="D56" s="1525"/>
      <c r="E56" s="1525"/>
      <c r="F56" s="1525"/>
      <c r="G56" s="1525"/>
      <c r="H56" s="1525"/>
      <c r="I56" s="1525"/>
      <c r="J56" s="1525"/>
      <c r="K56" s="1525"/>
      <c r="L56" s="1525"/>
      <c r="M56" s="1525"/>
      <c r="N56" s="1525"/>
      <c r="O56" s="1525"/>
      <c r="P56" s="1525"/>
      <c r="Q56" s="1525"/>
      <c r="R56" s="1525"/>
      <c r="S56" s="1525"/>
      <c r="T56" s="1525"/>
      <c r="U56" s="1525"/>
      <c r="V56" s="1525"/>
      <c r="W56" s="1525"/>
      <c r="X56" s="1525"/>
      <c r="Y56" s="1526"/>
    </row>
    <row r="57" spans="1:25" ht="15" customHeight="1">
      <c r="A57" s="1524"/>
      <c r="B57" s="1525"/>
      <c r="C57" s="1525"/>
      <c r="D57" s="1525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6"/>
    </row>
    <row r="58" spans="1:25" ht="15" customHeight="1">
      <c r="A58" s="1524"/>
      <c r="B58" s="1525"/>
      <c r="C58" s="1525"/>
      <c r="D58" s="1525"/>
      <c r="E58" s="1525"/>
      <c r="F58" s="1525"/>
      <c r="G58" s="1525"/>
      <c r="H58" s="1525"/>
      <c r="I58" s="1525"/>
      <c r="J58" s="1525"/>
      <c r="K58" s="1525"/>
      <c r="L58" s="1525"/>
      <c r="M58" s="1525"/>
      <c r="N58" s="1525"/>
      <c r="O58" s="1525"/>
      <c r="P58" s="1525"/>
      <c r="Q58" s="1525"/>
      <c r="R58" s="1525"/>
      <c r="S58" s="1525"/>
      <c r="T58" s="1525"/>
      <c r="U58" s="1525"/>
      <c r="V58" s="1525"/>
      <c r="W58" s="1525"/>
      <c r="X58" s="1525"/>
      <c r="Y58" s="1526"/>
    </row>
    <row r="59" spans="1:25" ht="15" customHeight="1">
      <c r="A59" s="1524"/>
      <c r="B59" s="1525"/>
      <c r="C59" s="1525"/>
      <c r="D59" s="1525"/>
      <c r="E59" s="1525"/>
      <c r="F59" s="1525"/>
      <c r="G59" s="1525"/>
      <c r="H59" s="1525"/>
      <c r="I59" s="1525"/>
      <c r="J59" s="1525"/>
      <c r="K59" s="1525"/>
      <c r="L59" s="1525"/>
      <c r="M59" s="1525"/>
      <c r="N59" s="1525"/>
      <c r="O59" s="1525"/>
      <c r="P59" s="1525"/>
      <c r="Q59" s="1525"/>
      <c r="R59" s="1525"/>
      <c r="S59" s="1525"/>
      <c r="T59" s="1525"/>
      <c r="U59" s="1525"/>
      <c r="V59" s="1525"/>
      <c r="W59" s="1525"/>
      <c r="X59" s="1525"/>
      <c r="Y59" s="1526"/>
    </row>
    <row r="60" spans="1:25" ht="14.25" customHeight="1" thickBot="1">
      <c r="A60" s="1527"/>
      <c r="B60" s="1528"/>
      <c r="C60" s="1528"/>
      <c r="D60" s="1528"/>
      <c r="E60" s="1528"/>
      <c r="F60" s="1528"/>
      <c r="G60" s="1528"/>
      <c r="H60" s="1528"/>
      <c r="I60" s="1528"/>
      <c r="J60" s="1528"/>
      <c r="K60" s="1528"/>
      <c r="L60" s="1528"/>
      <c r="M60" s="1528"/>
      <c r="N60" s="1528"/>
      <c r="O60" s="1528"/>
      <c r="P60" s="1528"/>
      <c r="Q60" s="1528"/>
      <c r="R60" s="1528"/>
      <c r="S60" s="1528"/>
      <c r="T60" s="1528"/>
      <c r="U60" s="1528"/>
      <c r="V60" s="1528"/>
      <c r="W60" s="1528"/>
      <c r="X60" s="1528"/>
      <c r="Y60" s="1529"/>
    </row>
    <row r="61" spans="1:25" ht="15" hidden="1" customHeight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hidden="1" customHeight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hidden="1" customHeight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hidden="1" customHeight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hidden="1" customHeight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hidden="1" customHeight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hidden="1" customHeight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hidden="1" customHeight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hidden="1" customHeight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hidden="1" customHeight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hidden="1" customHeight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>
      <c r="A72" s="1530" t="s">
        <v>382</v>
      </c>
      <c r="B72" s="1531"/>
      <c r="C72" s="1506" t="s">
        <v>39</v>
      </c>
      <c r="D72" s="1506"/>
      <c r="E72" s="1506"/>
      <c r="F72" s="1506"/>
      <c r="G72" s="1506"/>
      <c r="H72" s="1506"/>
      <c r="I72" s="1506"/>
      <c r="J72" s="1506"/>
      <c r="K72" s="1506"/>
      <c r="L72" s="1506"/>
      <c r="M72" s="1506"/>
      <c r="N72" s="1506"/>
      <c r="O72" s="1506"/>
      <c r="P72" s="1506"/>
      <c r="Q72" s="1506"/>
      <c r="R72" s="1506"/>
      <c r="S72" s="1506"/>
      <c r="T72" s="1506"/>
      <c r="U72" s="1506"/>
      <c r="V72" s="1506"/>
      <c r="W72" s="1506"/>
      <c r="X72" s="1506"/>
      <c r="Y72" s="1507"/>
    </row>
    <row r="73" spans="1:25" ht="13.5" thickBot="1">
      <c r="A73" s="1477" t="s">
        <v>39</v>
      </c>
      <c r="B73" s="1478"/>
      <c r="C73" s="1478"/>
      <c r="D73" s="1478"/>
      <c r="E73" s="1478"/>
      <c r="F73" s="1478"/>
      <c r="G73" s="1478"/>
      <c r="H73" s="1478"/>
      <c r="I73" s="1478"/>
      <c r="J73" s="1478"/>
      <c r="K73" s="1478"/>
      <c r="L73" s="1478"/>
      <c r="M73" s="1478"/>
      <c r="N73" s="1478"/>
      <c r="O73" s="1478"/>
      <c r="P73" s="1478"/>
      <c r="Q73" s="1478"/>
      <c r="R73" s="1478"/>
      <c r="S73" s="1478"/>
      <c r="T73" s="1478"/>
      <c r="U73" s="1478"/>
      <c r="V73" s="1478"/>
      <c r="W73" s="1478"/>
      <c r="X73" s="1478"/>
      <c r="Y73" s="1479"/>
    </row>
    <row r="74" spans="1:25" ht="3.75" customHeight="1" thickBot="1">
      <c r="A74" s="1480"/>
      <c r="B74" s="1481"/>
      <c r="C74" s="1481"/>
      <c r="D74" s="1481"/>
      <c r="E74" s="1481"/>
      <c r="F74" s="1481"/>
      <c r="G74" s="1481"/>
      <c r="H74" s="1481"/>
      <c r="I74" s="1481"/>
      <c r="J74" s="1481"/>
      <c r="K74" s="1481"/>
      <c r="L74" s="1481"/>
      <c r="M74" s="1481"/>
      <c r="N74" s="1481"/>
      <c r="O74" s="1481"/>
      <c r="P74" s="1481"/>
      <c r="Q74" s="1481"/>
      <c r="R74" s="1481"/>
      <c r="S74" s="1481"/>
      <c r="T74" s="1481"/>
      <c r="U74" s="1481"/>
      <c r="V74" s="1481"/>
      <c r="W74" s="1481"/>
      <c r="X74" s="1481"/>
      <c r="Y74" s="1482"/>
    </row>
    <row r="75" spans="1:25" ht="13.5" hidden="1" thickBot="1">
      <c r="A75" s="1483"/>
      <c r="B75" s="1484"/>
      <c r="C75" s="1484"/>
      <c r="D75" s="1484"/>
      <c r="E75" s="1484"/>
      <c r="F75" s="1484"/>
      <c r="G75" s="1484"/>
      <c r="H75" s="1484"/>
      <c r="I75" s="1484"/>
      <c r="J75" s="1484"/>
      <c r="K75" s="1484"/>
      <c r="L75" s="1484"/>
      <c r="M75" s="1484"/>
      <c r="N75" s="1484"/>
      <c r="O75" s="1484"/>
      <c r="P75" s="1484"/>
      <c r="Q75" s="1484"/>
      <c r="R75" s="1484"/>
      <c r="S75" s="1484"/>
      <c r="T75" s="1484"/>
      <c r="U75" s="1484"/>
      <c r="V75" s="1484"/>
      <c r="W75" s="1484"/>
      <c r="X75" s="387"/>
      <c r="Y75" s="383"/>
    </row>
    <row r="76" spans="1:25" ht="13.5" hidden="1" thickBot="1">
      <c r="A76" s="1485"/>
      <c r="B76" s="1486"/>
      <c r="C76" s="1486"/>
      <c r="D76" s="1486"/>
      <c r="E76" s="1486"/>
      <c r="F76" s="1486"/>
      <c r="G76" s="1486"/>
      <c r="H76" s="1486"/>
      <c r="I76" s="1486"/>
      <c r="J76" s="1486"/>
      <c r="K76" s="1486"/>
      <c r="L76" s="1486"/>
      <c r="M76" s="1486"/>
      <c r="N76" s="1486"/>
      <c r="O76" s="1486"/>
      <c r="P76" s="1486"/>
      <c r="Q76" s="1486"/>
      <c r="R76" s="1486"/>
      <c r="S76" s="1486"/>
      <c r="T76" s="1486"/>
      <c r="U76" s="1486"/>
      <c r="V76" s="1486"/>
      <c r="W76" s="1486"/>
      <c r="X76" s="387"/>
      <c r="Y76" s="383"/>
    </row>
    <row r="77" spans="1:25" ht="13.5" hidden="1" thickBot="1">
      <c r="A77" s="1487"/>
      <c r="B77" s="1488"/>
      <c r="C77" s="1488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9"/>
      <c r="T77" s="1489"/>
      <c r="U77" s="1489"/>
      <c r="V77" s="1489"/>
      <c r="W77" s="1489"/>
      <c r="X77" s="387"/>
      <c r="Y77" s="383"/>
    </row>
    <row r="78" spans="1:25" ht="15.75" thickBot="1">
      <c r="A78" s="450" t="s">
        <v>383</v>
      </c>
      <c r="B78" s="1499" t="str">
        <f>DATOS!$G$5</f>
        <v>#</v>
      </c>
      <c r="C78" s="1499"/>
      <c r="D78" s="1499"/>
      <c r="E78" s="1499"/>
      <c r="F78" s="1499"/>
      <c r="G78" s="1499"/>
      <c r="H78" s="1499"/>
      <c r="I78" s="1499"/>
      <c r="J78" s="1500"/>
      <c r="K78" s="1497" t="s">
        <v>384</v>
      </c>
      <c r="L78" s="1498"/>
      <c r="M78" s="1498"/>
      <c r="N78" s="1498"/>
      <c r="O78" s="1498"/>
      <c r="P78" s="1498"/>
      <c r="Q78" s="1498"/>
      <c r="R78" s="1498"/>
      <c r="S78" s="1494" t="s">
        <v>385</v>
      </c>
      <c r="T78" s="1495"/>
      <c r="U78" s="1495"/>
      <c r="V78" s="1495"/>
      <c r="W78" s="1495"/>
      <c r="X78" s="1495"/>
      <c r="Y78" s="1496"/>
    </row>
    <row r="79" spans="1:25">
      <c r="A79" s="1497"/>
      <c r="B79" s="1498"/>
      <c r="C79" s="1498"/>
      <c r="D79" s="1498"/>
      <c r="E79" s="1498"/>
      <c r="F79" s="1498"/>
      <c r="G79" s="1498"/>
      <c r="H79" s="1498"/>
      <c r="I79" s="1498"/>
      <c r="J79" s="1501"/>
      <c r="K79" s="1497"/>
      <c r="L79" s="1498"/>
      <c r="M79" s="1498"/>
      <c r="N79" s="1498"/>
      <c r="O79" s="1498"/>
      <c r="P79" s="1498"/>
      <c r="Q79" s="1498"/>
      <c r="R79" s="1501"/>
      <c r="S79" s="1497"/>
      <c r="T79" s="1498"/>
      <c r="U79" s="1498"/>
      <c r="V79" s="1498"/>
      <c r="W79" s="1498"/>
      <c r="X79" s="1498"/>
      <c r="Y79" s="1501"/>
    </row>
    <row r="80" spans="1:25">
      <c r="A80" s="1502"/>
      <c r="B80" s="1503"/>
      <c r="C80" s="1503"/>
      <c r="D80" s="1503"/>
      <c r="E80" s="1503"/>
      <c r="F80" s="1503"/>
      <c r="G80" s="1503"/>
      <c r="H80" s="1503"/>
      <c r="I80" s="1503"/>
      <c r="J80" s="1504"/>
      <c r="K80" s="1502"/>
      <c r="L80" s="1503"/>
      <c r="M80" s="1503"/>
      <c r="N80" s="1503"/>
      <c r="O80" s="1503"/>
      <c r="P80" s="1503"/>
      <c r="Q80" s="1503"/>
      <c r="R80" s="1504"/>
      <c r="S80" s="1502"/>
      <c r="T80" s="1503"/>
      <c r="U80" s="1503"/>
      <c r="V80" s="1503"/>
      <c r="W80" s="1503"/>
      <c r="X80" s="1503"/>
      <c r="Y80" s="1504"/>
    </row>
    <row r="81" spans="1:25">
      <c r="A81" s="1502"/>
      <c r="B81" s="1503"/>
      <c r="C81" s="1503"/>
      <c r="D81" s="1503"/>
      <c r="E81" s="1503"/>
      <c r="F81" s="1503"/>
      <c r="G81" s="1503"/>
      <c r="H81" s="1503"/>
      <c r="I81" s="1503"/>
      <c r="J81" s="1504"/>
      <c r="K81" s="1502"/>
      <c r="L81" s="1503"/>
      <c r="M81" s="1503"/>
      <c r="N81" s="1503"/>
      <c r="O81" s="1503"/>
      <c r="P81" s="1503"/>
      <c r="Q81" s="1503"/>
      <c r="R81" s="1504"/>
      <c r="S81" s="1502"/>
      <c r="T81" s="1503"/>
      <c r="U81" s="1503"/>
      <c r="V81" s="1503"/>
      <c r="W81" s="1503"/>
      <c r="X81" s="1503"/>
      <c r="Y81" s="1504"/>
    </row>
    <row r="82" spans="1:25">
      <c r="A82" s="1502"/>
      <c r="B82" s="1503"/>
      <c r="C82" s="1503"/>
      <c r="D82" s="1503"/>
      <c r="E82" s="1503"/>
      <c r="F82" s="1503"/>
      <c r="G82" s="1503"/>
      <c r="H82" s="1503"/>
      <c r="I82" s="1503"/>
      <c r="J82" s="1504"/>
      <c r="K82" s="1502"/>
      <c r="L82" s="1503"/>
      <c r="M82" s="1503"/>
      <c r="N82" s="1503"/>
      <c r="O82" s="1503"/>
      <c r="P82" s="1503"/>
      <c r="Q82" s="1503"/>
      <c r="R82" s="1504"/>
      <c r="S82" s="1502"/>
      <c r="T82" s="1503"/>
      <c r="U82" s="1503"/>
      <c r="V82" s="1503"/>
      <c r="W82" s="1503"/>
      <c r="X82" s="1503"/>
      <c r="Y82" s="1504"/>
    </row>
    <row r="83" spans="1:25">
      <c r="A83" s="1502"/>
      <c r="B83" s="1503"/>
      <c r="C83" s="1503"/>
      <c r="D83" s="1503"/>
      <c r="E83" s="1503"/>
      <c r="F83" s="1503"/>
      <c r="G83" s="1503"/>
      <c r="H83" s="1503"/>
      <c r="I83" s="1503"/>
      <c r="J83" s="1504"/>
      <c r="K83" s="1502"/>
      <c r="L83" s="1503"/>
      <c r="M83" s="1503"/>
      <c r="N83" s="1503"/>
      <c r="O83" s="1503"/>
      <c r="P83" s="1503"/>
      <c r="Q83" s="1503"/>
      <c r="R83" s="1504"/>
      <c r="S83" s="1502"/>
      <c r="T83" s="1503"/>
      <c r="U83" s="1503"/>
      <c r="V83" s="1503"/>
      <c r="W83" s="1503"/>
      <c r="X83" s="1503"/>
      <c r="Y83" s="1504"/>
    </row>
    <row r="84" spans="1:25">
      <c r="A84" s="1502"/>
      <c r="B84" s="1503"/>
      <c r="C84" s="1503"/>
      <c r="D84" s="1503"/>
      <c r="E84" s="1503"/>
      <c r="F84" s="1503"/>
      <c r="G84" s="1503"/>
      <c r="H84" s="1503"/>
      <c r="I84" s="1503"/>
      <c r="J84" s="1504"/>
      <c r="K84" s="1502"/>
      <c r="L84" s="1503"/>
      <c r="M84" s="1503"/>
      <c r="N84" s="1503"/>
      <c r="O84" s="1503"/>
      <c r="P84" s="1503"/>
      <c r="Q84" s="1503"/>
      <c r="R84" s="1504"/>
      <c r="S84" s="1502"/>
      <c r="T84" s="1503"/>
      <c r="U84" s="1503"/>
      <c r="V84" s="1503"/>
      <c r="W84" s="1503"/>
      <c r="X84" s="1503"/>
      <c r="Y84" s="1504"/>
    </row>
    <row r="85" spans="1:25" ht="55.5" customHeight="1">
      <c r="A85" s="1502"/>
      <c r="B85" s="1503"/>
      <c r="C85" s="1503"/>
      <c r="D85" s="1503"/>
      <c r="E85" s="1503"/>
      <c r="F85" s="1503"/>
      <c r="G85" s="1503"/>
      <c r="H85" s="1503"/>
      <c r="I85" s="1503"/>
      <c r="J85" s="1504"/>
      <c r="K85" s="1502"/>
      <c r="L85" s="1503"/>
      <c r="M85" s="1503"/>
      <c r="N85" s="1503"/>
      <c r="O85" s="1503"/>
      <c r="P85" s="1503"/>
      <c r="Q85" s="1503"/>
      <c r="R85" s="1504"/>
      <c r="S85" s="1502"/>
      <c r="T85" s="1503"/>
      <c r="U85" s="1503"/>
      <c r="V85" s="1503"/>
      <c r="W85" s="1503"/>
      <c r="X85" s="1503"/>
      <c r="Y85" s="1504"/>
    </row>
    <row r="86" spans="1:25" ht="2.25" customHeight="1" thickBot="1">
      <c r="A86" s="1490"/>
      <c r="B86" s="1491"/>
      <c r="C86" s="1491"/>
      <c r="D86" s="1491"/>
      <c r="E86" s="1491"/>
      <c r="F86" s="1491"/>
      <c r="G86" s="1491"/>
      <c r="H86" s="1491"/>
      <c r="I86" s="1491"/>
      <c r="J86" s="1492"/>
      <c r="K86" s="1490"/>
      <c r="L86" s="1491"/>
      <c r="M86" s="1491"/>
      <c r="N86" s="1491"/>
      <c r="O86" s="1491"/>
      <c r="P86" s="1491"/>
      <c r="Q86" s="1491"/>
      <c r="R86" s="1492"/>
      <c r="S86" s="1490"/>
      <c r="T86" s="1491"/>
      <c r="U86" s="1491"/>
      <c r="V86" s="1491"/>
      <c r="W86" s="1491"/>
      <c r="X86" s="1491"/>
      <c r="Y86" s="1492"/>
    </row>
    <row r="87" spans="1:25" ht="11.25" customHeight="1" thickBot="1">
      <c r="A87" s="1490" t="s">
        <v>386</v>
      </c>
      <c r="B87" s="1491"/>
      <c r="C87" s="1491"/>
      <c r="D87" s="1491"/>
      <c r="E87" s="1491"/>
      <c r="F87" s="1491"/>
      <c r="G87" s="1491"/>
      <c r="H87" s="1491"/>
      <c r="I87" s="1491"/>
      <c r="J87" s="1492"/>
      <c r="K87" s="1493" t="s">
        <v>387</v>
      </c>
      <c r="L87" s="1493"/>
      <c r="M87" s="1493"/>
      <c r="N87" s="1493"/>
      <c r="O87" s="1493"/>
      <c r="P87" s="1493"/>
      <c r="Q87" s="1493"/>
      <c r="R87" s="1493"/>
      <c r="S87" s="1494" t="s">
        <v>388</v>
      </c>
      <c r="T87" s="1495"/>
      <c r="U87" s="1495"/>
      <c r="V87" s="1495"/>
      <c r="W87" s="1495"/>
      <c r="X87" s="1495"/>
      <c r="Y87" s="1496"/>
    </row>
  </sheetData>
  <mergeCells count="30"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A6:C6"/>
    <mergeCell ref="D6:K6"/>
    <mergeCell ref="M6:N6"/>
    <mergeCell ref="A7:Y60"/>
    <mergeCell ref="A72:B72"/>
    <mergeCell ref="A87:J87"/>
    <mergeCell ref="K87:R87"/>
    <mergeCell ref="S87:Y87"/>
    <mergeCell ref="K78:R78"/>
    <mergeCell ref="S78:Y78"/>
    <mergeCell ref="B78:J78"/>
    <mergeCell ref="A79:J86"/>
    <mergeCell ref="K79:R86"/>
    <mergeCell ref="S79:Y86"/>
    <mergeCell ref="A73:Y73"/>
    <mergeCell ref="A74:Y74"/>
    <mergeCell ref="A75:W75"/>
    <mergeCell ref="A76:W76"/>
    <mergeCell ref="A77:W77"/>
  </mergeCells>
  <pageMargins left="1.4960629921259843" right="0" top="0" bottom="0" header="0.31496062992125984" footer="0.31496062992125984"/>
  <pageSetup paperSize="9" scale="77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87"/>
  <sheetViews>
    <sheetView zoomScale="124" zoomScaleNormal="124" workbookViewId="0">
      <selection activeCell="AC85" sqref="AC85"/>
    </sheetView>
  </sheetViews>
  <sheetFormatPr baseColWidth="10" defaultColWidth="11.42578125" defaultRowHeight="12.75"/>
  <cols>
    <col min="1" max="1" width="9" style="350" customWidth="1"/>
    <col min="2" max="4" width="4" style="350" customWidth="1"/>
    <col min="5" max="5" width="2" style="350" customWidth="1"/>
    <col min="6" max="11" width="4" style="350" customWidth="1"/>
    <col min="12" max="12" width="6.42578125" style="350" customWidth="1"/>
    <col min="13" max="13" width="4" style="350" customWidth="1"/>
    <col min="14" max="14" width="6.7109375" style="350" customWidth="1"/>
    <col min="15" max="15" width="6" style="350" customWidth="1"/>
    <col min="16" max="16" width="5" style="350" customWidth="1"/>
    <col min="17" max="20" width="4" style="350" customWidth="1"/>
    <col min="21" max="21" width="7" style="350" customWidth="1"/>
    <col min="22" max="22" width="2.42578125" style="350" customWidth="1"/>
    <col min="23" max="23" width="4.140625" style="350" customWidth="1"/>
    <col min="24" max="24" width="3.85546875" style="350" customWidth="1"/>
    <col min="25" max="25" width="2.85546875" style="350" customWidth="1"/>
    <col min="26" max="26" width="3.5703125" style="350" customWidth="1"/>
    <col min="27" max="27" width="2.140625" style="350" customWidth="1"/>
    <col min="28" max="28" width="2.7109375" style="350" customWidth="1"/>
    <col min="29" max="16384" width="11.42578125" style="350"/>
  </cols>
  <sheetData>
    <row r="1" spans="1:27" ht="36.75" customHeight="1">
      <c r="A1" s="376"/>
      <c r="B1" s="377"/>
      <c r="C1" s="378"/>
      <c r="D1" s="1508" t="s">
        <v>373</v>
      </c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  <c r="P1" s="1508"/>
      <c r="Q1" s="1508"/>
      <c r="R1" s="1508"/>
      <c r="S1" s="1508"/>
      <c r="T1" s="1508"/>
      <c r="U1" s="1509"/>
      <c r="V1" s="1510" t="s">
        <v>374</v>
      </c>
      <c r="W1" s="1511"/>
      <c r="X1" s="377">
        <v>2</v>
      </c>
      <c r="Y1" s="379"/>
    </row>
    <row r="2" spans="1:27" ht="17.25" customHeight="1">
      <c r="A2" s="380"/>
      <c r="B2" s="381"/>
      <c r="C2" s="38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3"/>
      <c r="V2" s="1514" t="s">
        <v>105</v>
      </c>
      <c r="W2" s="1515"/>
      <c r="X2" s="381">
        <v>2</v>
      </c>
      <c r="Y2" s="383"/>
    </row>
    <row r="3" spans="1:27" ht="26.25" customHeight="1">
      <c r="A3" s="380"/>
      <c r="B3" s="381"/>
      <c r="C3" s="384"/>
      <c r="D3" s="1512" t="s">
        <v>375</v>
      </c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  <c r="U3" s="1513"/>
      <c r="V3" s="385"/>
      <c r="W3" s="386"/>
      <c r="X3" s="387"/>
      <c r="Y3" s="383"/>
    </row>
    <row r="4" spans="1:27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7" ht="16.5" thickBot="1">
      <c r="A5" s="451" t="s">
        <v>376</v>
      </c>
      <c r="B5" s="394"/>
      <c r="C5" s="395"/>
      <c r="D5" s="1516" t="s">
        <v>377</v>
      </c>
      <c r="E5" s="1517"/>
      <c r="F5" s="1518" t="str">
        <f>DATOS!$G$27</f>
        <v>#</v>
      </c>
      <c r="G5" s="1505"/>
      <c r="H5" s="1505"/>
      <c r="I5" s="1505"/>
      <c r="J5" s="1505"/>
      <c r="K5" s="1505"/>
      <c r="L5" s="1505"/>
      <c r="M5" s="397" t="s">
        <v>378</v>
      </c>
      <c r="N5" s="396" t="str">
        <f>DATOS!$G$28</f>
        <v>#</v>
      </c>
      <c r="O5" s="398" t="s">
        <v>337</v>
      </c>
      <c r="P5" s="1505" t="str">
        <f>DATOS!$G$37</f>
        <v>#</v>
      </c>
      <c r="Q5" s="1505"/>
      <c r="R5" s="1519" t="s">
        <v>379</v>
      </c>
      <c r="S5" s="1519"/>
      <c r="T5" s="1505" t="str">
        <f>DATOS!$G$38</f>
        <v>#</v>
      </c>
      <c r="U5" s="1505"/>
      <c r="V5" s="399"/>
      <c r="W5" s="399"/>
      <c r="X5" s="399"/>
      <c r="Y5" s="400"/>
      <c r="Z5" s="401"/>
    </row>
    <row r="6" spans="1:27" ht="12.75" customHeight="1" thickBot="1">
      <c r="A6" s="1520" t="s">
        <v>380</v>
      </c>
      <c r="B6" s="1521"/>
      <c r="C6" s="1521"/>
      <c r="D6" s="1522" t="str">
        <f>DATOS!$G$29</f>
        <v>#</v>
      </c>
      <c r="E6" s="1522"/>
      <c r="F6" s="1522"/>
      <c r="G6" s="1522"/>
      <c r="H6" s="1522"/>
      <c r="I6" s="1522"/>
      <c r="J6" s="1522"/>
      <c r="K6" s="1522"/>
      <c r="L6" s="402" t="s">
        <v>381</v>
      </c>
      <c r="M6" s="1505" t="str">
        <f>DATOS!$G$30</f>
        <v>#</v>
      </c>
      <c r="N6" s="152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7" ht="12.75" customHeight="1">
      <c r="A7" s="1524"/>
      <c r="B7" s="1525"/>
      <c r="C7" s="1525"/>
      <c r="D7" s="1525"/>
      <c r="E7" s="1525"/>
      <c r="F7" s="1525"/>
      <c r="G7" s="1525"/>
      <c r="H7" s="1525"/>
      <c r="I7" s="1525"/>
      <c r="J7" s="1525"/>
      <c r="K7" s="1525"/>
      <c r="L7" s="1525"/>
      <c r="M7" s="1525"/>
      <c r="N7" s="1525"/>
      <c r="O7" s="1525"/>
      <c r="P7" s="1525"/>
      <c r="Q7" s="1525"/>
      <c r="R7" s="1525"/>
      <c r="S7" s="1525"/>
      <c r="T7" s="1525"/>
      <c r="U7" s="1525"/>
      <c r="V7" s="1525"/>
      <c r="W7" s="1525"/>
      <c r="X7" s="1525"/>
      <c r="Y7" s="1526"/>
    </row>
    <row r="8" spans="1:27" ht="12.75" customHeight="1">
      <c r="A8" s="1524"/>
      <c r="B8" s="1525"/>
      <c r="C8" s="1525"/>
      <c r="D8" s="1525"/>
      <c r="E8" s="1525"/>
      <c r="F8" s="1525"/>
      <c r="G8" s="1525"/>
      <c r="H8" s="1525"/>
      <c r="I8" s="1525"/>
      <c r="J8" s="1525"/>
      <c r="K8" s="1525"/>
      <c r="L8" s="1525"/>
      <c r="M8" s="1525"/>
      <c r="N8" s="1525"/>
      <c r="O8" s="1525"/>
      <c r="P8" s="1525"/>
      <c r="Q8" s="1525"/>
      <c r="R8" s="1525"/>
      <c r="S8" s="1525"/>
      <c r="T8" s="1525"/>
      <c r="U8" s="1525"/>
      <c r="V8" s="1525"/>
      <c r="W8" s="1525"/>
      <c r="X8" s="1525"/>
      <c r="Y8" s="1526"/>
    </row>
    <row r="9" spans="1:27" ht="12.75" customHeight="1">
      <c r="A9" s="1524"/>
      <c r="B9" s="1525"/>
      <c r="C9" s="1525"/>
      <c r="D9" s="1525"/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6"/>
    </row>
    <row r="10" spans="1:27" ht="12.75" customHeight="1">
      <c r="A10" s="1524"/>
      <c r="B10" s="1525"/>
      <c r="C10" s="1525"/>
      <c r="D10" s="1525"/>
      <c r="E10" s="1525"/>
      <c r="F10" s="1525"/>
      <c r="G10" s="1525"/>
      <c r="H10" s="1525"/>
      <c r="I10" s="1525"/>
      <c r="J10" s="1525"/>
      <c r="K10" s="1525"/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1525"/>
      <c r="Y10" s="1526"/>
    </row>
    <row r="11" spans="1:27" ht="12.75" customHeight="1">
      <c r="A11" s="1524"/>
      <c r="B11" s="1525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6"/>
      <c r="Z11" s="405"/>
      <c r="AA11" s="405"/>
    </row>
    <row r="12" spans="1:27" ht="12.75" customHeight="1">
      <c r="A12" s="1524"/>
      <c r="B12" s="1525"/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6"/>
    </row>
    <row r="13" spans="1:27" ht="12.75" customHeight="1">
      <c r="A13" s="1524"/>
      <c r="B13" s="1525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6"/>
    </row>
    <row r="14" spans="1:27" ht="12.75" customHeight="1">
      <c r="A14" s="1524"/>
      <c r="B14" s="1525"/>
      <c r="C14" s="1525"/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/>
      <c r="P14" s="1525"/>
      <c r="Q14" s="1525"/>
      <c r="R14" s="1525"/>
      <c r="S14" s="1525"/>
      <c r="T14" s="1525"/>
      <c r="U14" s="1525"/>
      <c r="V14" s="1525"/>
      <c r="W14" s="1525"/>
      <c r="X14" s="1525"/>
      <c r="Y14" s="1526"/>
    </row>
    <row r="15" spans="1:27" ht="12.75" customHeight="1">
      <c r="A15" s="1524"/>
      <c r="B15" s="1525"/>
      <c r="C15" s="1525"/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6"/>
    </row>
    <row r="16" spans="1:27" ht="12.75" customHeight="1">
      <c r="A16" s="1524"/>
      <c r="B16" s="1525"/>
      <c r="C16" s="1525"/>
      <c r="D16" s="1525"/>
      <c r="E16" s="1525"/>
      <c r="F16" s="1525"/>
      <c r="G16" s="1525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  <c r="R16" s="1525"/>
      <c r="S16" s="1525"/>
      <c r="T16" s="1525"/>
      <c r="U16" s="1525"/>
      <c r="V16" s="1525"/>
      <c r="W16" s="1525"/>
      <c r="X16" s="1525"/>
      <c r="Y16" s="1526"/>
    </row>
    <row r="17" spans="1:25" ht="12.75" customHeight="1">
      <c r="A17" s="1524"/>
      <c r="B17" s="1525"/>
      <c r="C17" s="1525"/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6"/>
    </row>
    <row r="18" spans="1:25" ht="12.75" customHeight="1">
      <c r="A18" s="1524"/>
      <c r="B18" s="1525"/>
      <c r="C18" s="1525"/>
      <c r="D18" s="1525"/>
      <c r="E18" s="1525"/>
      <c r="F18" s="1525"/>
      <c r="G18" s="1525"/>
      <c r="H18" s="1525"/>
      <c r="I18" s="1525"/>
      <c r="J18" s="1525"/>
      <c r="K18" s="1525"/>
      <c r="L18" s="1525"/>
      <c r="M18" s="1525"/>
      <c r="N18" s="1525"/>
      <c r="O18" s="1525"/>
      <c r="P18" s="1525"/>
      <c r="Q18" s="1525"/>
      <c r="R18" s="1525"/>
      <c r="S18" s="1525"/>
      <c r="T18" s="1525"/>
      <c r="U18" s="1525"/>
      <c r="V18" s="1525"/>
      <c r="W18" s="1525"/>
      <c r="X18" s="1525"/>
      <c r="Y18" s="1526"/>
    </row>
    <row r="19" spans="1:25" ht="12.75" customHeight="1">
      <c r="A19" s="1524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6"/>
    </row>
    <row r="20" spans="1:25" ht="12.75" customHeight="1">
      <c r="A20" s="1524"/>
      <c r="B20" s="1525"/>
      <c r="C20" s="1525"/>
      <c r="D20" s="1525"/>
      <c r="E20" s="1525"/>
      <c r="F20" s="1525"/>
      <c r="G20" s="1525"/>
      <c r="H20" s="1525"/>
      <c r="I20" s="1525"/>
      <c r="J20" s="1525"/>
      <c r="K20" s="1525"/>
      <c r="L20" s="1525"/>
      <c r="M20" s="1525"/>
      <c r="N20" s="1525"/>
      <c r="O20" s="1525"/>
      <c r="P20" s="1525"/>
      <c r="Q20" s="1525"/>
      <c r="R20" s="1525"/>
      <c r="S20" s="1525"/>
      <c r="T20" s="1525"/>
      <c r="U20" s="1525"/>
      <c r="V20" s="1525"/>
      <c r="W20" s="1525"/>
      <c r="X20" s="1525"/>
      <c r="Y20" s="1526"/>
    </row>
    <row r="21" spans="1:25" ht="12.75" customHeight="1">
      <c r="A21" s="1524"/>
      <c r="B21" s="1525"/>
      <c r="C21" s="1525"/>
      <c r="D21" s="1525"/>
      <c r="E21" s="1525"/>
      <c r="F21" s="1525"/>
      <c r="G21" s="1525"/>
      <c r="H21" s="1525"/>
      <c r="I21" s="1525"/>
      <c r="J21" s="1525"/>
      <c r="K21" s="1525"/>
      <c r="L21" s="1525"/>
      <c r="M21" s="1525"/>
      <c r="N21" s="1525"/>
      <c r="O21" s="1525"/>
      <c r="P21" s="1525"/>
      <c r="Q21" s="1525"/>
      <c r="R21" s="1525"/>
      <c r="S21" s="1525"/>
      <c r="T21" s="1525"/>
      <c r="U21" s="1525"/>
      <c r="V21" s="1525"/>
      <c r="W21" s="1525"/>
      <c r="X21" s="1525"/>
      <c r="Y21" s="1526"/>
    </row>
    <row r="22" spans="1:25" ht="12.75" customHeight="1">
      <c r="A22" s="1524"/>
      <c r="B22" s="1525"/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6"/>
    </row>
    <row r="23" spans="1:25" ht="12.75" customHeight="1">
      <c r="A23" s="1524"/>
      <c r="B23" s="1525"/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6"/>
    </row>
    <row r="24" spans="1:25" ht="12.75" customHeight="1">
      <c r="A24" s="1524"/>
      <c r="B24" s="1525"/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6"/>
    </row>
    <row r="25" spans="1:25" ht="12.75" customHeight="1">
      <c r="A25" s="1524"/>
      <c r="B25" s="1525"/>
      <c r="C25" s="1525"/>
      <c r="D25" s="1525"/>
      <c r="E25" s="1525"/>
      <c r="F25" s="1525"/>
      <c r="G25" s="1525"/>
      <c r="H25" s="1525"/>
      <c r="I25" s="1525"/>
      <c r="J25" s="1525"/>
      <c r="K25" s="1525"/>
      <c r="L25" s="1525"/>
      <c r="M25" s="1525"/>
      <c r="N25" s="1525"/>
      <c r="O25" s="1525"/>
      <c r="P25" s="1525"/>
      <c r="Q25" s="1525"/>
      <c r="R25" s="1525"/>
      <c r="S25" s="1525"/>
      <c r="T25" s="1525"/>
      <c r="U25" s="1525"/>
      <c r="V25" s="1525"/>
      <c r="W25" s="1525"/>
      <c r="X25" s="1525"/>
      <c r="Y25" s="1526"/>
    </row>
    <row r="26" spans="1:25" ht="12.75" customHeight="1">
      <c r="A26" s="1524"/>
      <c r="B26" s="1525"/>
      <c r="C26" s="1525"/>
      <c r="D26" s="1525"/>
      <c r="E26" s="1525"/>
      <c r="F26" s="1525"/>
      <c r="G26" s="1525"/>
      <c r="H26" s="1525"/>
      <c r="I26" s="1525"/>
      <c r="J26" s="1525"/>
      <c r="K26" s="1525"/>
      <c r="L26" s="1525"/>
      <c r="M26" s="1525"/>
      <c r="N26" s="1525"/>
      <c r="O26" s="1525"/>
      <c r="P26" s="1525"/>
      <c r="Q26" s="1525"/>
      <c r="R26" s="1525"/>
      <c r="S26" s="1525"/>
      <c r="T26" s="1525"/>
      <c r="U26" s="1525"/>
      <c r="V26" s="1525"/>
      <c r="W26" s="1525"/>
      <c r="X26" s="1525"/>
      <c r="Y26" s="1526"/>
    </row>
    <row r="27" spans="1:25" ht="12.75" customHeight="1">
      <c r="A27" s="1524"/>
      <c r="B27" s="1525"/>
      <c r="C27" s="1525"/>
      <c r="D27" s="1525"/>
      <c r="E27" s="1525"/>
      <c r="F27" s="1525"/>
      <c r="G27" s="1525"/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6"/>
    </row>
    <row r="28" spans="1:25" ht="12.75" customHeight="1">
      <c r="A28" s="1524"/>
      <c r="B28" s="1525"/>
      <c r="C28" s="1525"/>
      <c r="D28" s="1525"/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6"/>
    </row>
    <row r="29" spans="1:25" ht="12.75" customHeight="1">
      <c r="A29" s="1524"/>
      <c r="B29" s="1525"/>
      <c r="C29" s="1525"/>
      <c r="D29" s="1525"/>
      <c r="E29" s="1525"/>
      <c r="F29" s="1525"/>
      <c r="G29" s="1525"/>
      <c r="H29" s="1525"/>
      <c r="I29" s="1525"/>
      <c r="J29" s="1525"/>
      <c r="K29" s="1525"/>
      <c r="L29" s="1525"/>
      <c r="M29" s="1525"/>
      <c r="N29" s="1525"/>
      <c r="O29" s="1525"/>
      <c r="P29" s="1525"/>
      <c r="Q29" s="1525"/>
      <c r="R29" s="1525"/>
      <c r="S29" s="1525"/>
      <c r="T29" s="1525"/>
      <c r="U29" s="1525"/>
      <c r="V29" s="1525"/>
      <c r="W29" s="1525"/>
      <c r="X29" s="1525"/>
      <c r="Y29" s="1526"/>
    </row>
    <row r="30" spans="1:25" ht="12.75" customHeight="1">
      <c r="A30" s="1524"/>
      <c r="B30" s="1525"/>
      <c r="C30" s="1525"/>
      <c r="D30" s="1525"/>
      <c r="E30" s="1525"/>
      <c r="F30" s="1525"/>
      <c r="G30" s="1525"/>
      <c r="H30" s="1525"/>
      <c r="I30" s="1525"/>
      <c r="J30" s="1525"/>
      <c r="K30" s="1525"/>
      <c r="L30" s="1525"/>
      <c r="M30" s="1525"/>
      <c r="N30" s="1525"/>
      <c r="O30" s="1525"/>
      <c r="P30" s="1525"/>
      <c r="Q30" s="1525"/>
      <c r="R30" s="1525"/>
      <c r="S30" s="1525"/>
      <c r="T30" s="1525"/>
      <c r="U30" s="1525"/>
      <c r="V30" s="1525"/>
      <c r="W30" s="1525"/>
      <c r="X30" s="1525"/>
      <c r="Y30" s="1526"/>
    </row>
    <row r="31" spans="1:25" ht="12.75" customHeight="1">
      <c r="A31" s="1524"/>
      <c r="B31" s="1525"/>
      <c r="C31" s="1525"/>
      <c r="D31" s="1525"/>
      <c r="E31" s="1525"/>
      <c r="F31" s="1525"/>
      <c r="G31" s="1525"/>
      <c r="H31" s="1525"/>
      <c r="I31" s="1525"/>
      <c r="J31" s="1525"/>
      <c r="K31" s="1525"/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6"/>
    </row>
    <row r="32" spans="1:25" ht="12.75" customHeight="1">
      <c r="A32" s="1524"/>
      <c r="B32" s="1525"/>
      <c r="C32" s="1525"/>
      <c r="D32" s="1525"/>
      <c r="E32" s="1525"/>
      <c r="F32" s="1525"/>
      <c r="G32" s="1525"/>
      <c r="H32" s="1525"/>
      <c r="I32" s="1525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6"/>
    </row>
    <row r="33" spans="1:32" ht="12.75" customHeight="1">
      <c r="A33" s="1524"/>
      <c r="B33" s="1525"/>
      <c r="C33" s="1525"/>
      <c r="D33" s="1525"/>
      <c r="E33" s="1525"/>
      <c r="F33" s="1525"/>
      <c r="G33" s="1525"/>
      <c r="H33" s="1525"/>
      <c r="I33" s="1525"/>
      <c r="J33" s="1525"/>
      <c r="K33" s="1525"/>
      <c r="L33" s="1525"/>
      <c r="M33" s="1525"/>
      <c r="N33" s="1525"/>
      <c r="O33" s="1525"/>
      <c r="P33" s="1525"/>
      <c r="Q33" s="1525"/>
      <c r="R33" s="1525"/>
      <c r="S33" s="1525"/>
      <c r="T33" s="1525"/>
      <c r="U33" s="1525"/>
      <c r="V33" s="1525"/>
      <c r="W33" s="1525"/>
      <c r="X33" s="1525"/>
      <c r="Y33" s="1526"/>
    </row>
    <row r="34" spans="1:32" ht="12.75" customHeight="1">
      <c r="A34" s="1524"/>
      <c r="B34" s="1525"/>
      <c r="C34" s="1525"/>
      <c r="D34" s="1525"/>
      <c r="E34" s="1525"/>
      <c r="F34" s="1525"/>
      <c r="G34" s="1525"/>
      <c r="H34" s="1525"/>
      <c r="I34" s="1525"/>
      <c r="J34" s="1525"/>
      <c r="K34" s="1525"/>
      <c r="L34" s="1525"/>
      <c r="M34" s="1525"/>
      <c r="N34" s="1525"/>
      <c r="O34" s="1525"/>
      <c r="P34" s="1525"/>
      <c r="Q34" s="1525"/>
      <c r="R34" s="1525"/>
      <c r="S34" s="1525"/>
      <c r="T34" s="1525"/>
      <c r="U34" s="1525"/>
      <c r="V34" s="1525"/>
      <c r="W34" s="1525"/>
      <c r="X34" s="1525"/>
      <c r="Y34" s="1526"/>
    </row>
    <row r="35" spans="1:32" ht="12.75" customHeight="1">
      <c r="A35" s="1524"/>
      <c r="B35" s="1525"/>
      <c r="C35" s="1525"/>
      <c r="D35" s="1525"/>
      <c r="E35" s="1525"/>
      <c r="F35" s="1525"/>
      <c r="G35" s="1525"/>
      <c r="H35" s="1525"/>
      <c r="I35" s="1525"/>
      <c r="J35" s="1525"/>
      <c r="K35" s="1525"/>
      <c r="L35" s="1525"/>
      <c r="M35" s="1525"/>
      <c r="N35" s="1525"/>
      <c r="O35" s="1525"/>
      <c r="P35" s="1525"/>
      <c r="Q35" s="1525"/>
      <c r="R35" s="1525"/>
      <c r="S35" s="1525"/>
      <c r="T35" s="1525"/>
      <c r="U35" s="1525"/>
      <c r="V35" s="1525"/>
      <c r="W35" s="1525"/>
      <c r="X35" s="1525"/>
      <c r="Y35" s="1526"/>
    </row>
    <row r="36" spans="1:32" ht="12.75" customHeight="1">
      <c r="A36" s="1524"/>
      <c r="B36" s="1525"/>
      <c r="C36" s="1525"/>
      <c r="D36" s="1525"/>
      <c r="E36" s="1525"/>
      <c r="F36" s="1525"/>
      <c r="G36" s="1525"/>
      <c r="H36" s="1525"/>
      <c r="I36" s="1525"/>
      <c r="J36" s="1525"/>
      <c r="K36" s="1525"/>
      <c r="L36" s="1525"/>
      <c r="M36" s="1525"/>
      <c r="N36" s="1525"/>
      <c r="O36" s="1525"/>
      <c r="P36" s="1525"/>
      <c r="Q36" s="1525"/>
      <c r="R36" s="1525"/>
      <c r="S36" s="1525"/>
      <c r="T36" s="1525"/>
      <c r="U36" s="1525"/>
      <c r="V36" s="1525"/>
      <c r="W36" s="1525"/>
      <c r="X36" s="1525"/>
      <c r="Y36" s="1526"/>
    </row>
    <row r="37" spans="1:32" ht="12.75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6"/>
    </row>
    <row r="38" spans="1:32" ht="12.75" customHeight="1">
      <c r="A38" s="1524"/>
      <c r="B38" s="1525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5"/>
      <c r="Q38" s="1525"/>
      <c r="R38" s="1525"/>
      <c r="S38" s="1525"/>
      <c r="T38" s="1525"/>
      <c r="U38" s="1525"/>
      <c r="V38" s="1525"/>
      <c r="W38" s="1525"/>
      <c r="X38" s="1525"/>
      <c r="Y38" s="1526"/>
    </row>
    <row r="39" spans="1:32" ht="12.75" customHeight="1">
      <c r="A39" s="1524"/>
      <c r="B39" s="1525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5"/>
      <c r="Q39" s="1525"/>
      <c r="R39" s="1525"/>
      <c r="S39" s="1525"/>
      <c r="T39" s="1525"/>
      <c r="U39" s="1525"/>
      <c r="V39" s="1525"/>
      <c r="W39" s="1525"/>
      <c r="X39" s="1525"/>
      <c r="Y39" s="1526"/>
    </row>
    <row r="40" spans="1:32" ht="12.75" customHeight="1">
      <c r="A40" s="1524"/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6"/>
    </row>
    <row r="41" spans="1:32" ht="12.75" customHeight="1">
      <c r="A41" s="1524"/>
      <c r="B41" s="1525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5"/>
      <c r="Q41" s="1525"/>
      <c r="R41" s="1525"/>
      <c r="S41" s="1525"/>
      <c r="T41" s="1525"/>
      <c r="U41" s="1525"/>
      <c r="V41" s="1525"/>
      <c r="W41" s="1525"/>
      <c r="X41" s="1525"/>
      <c r="Y41" s="1526"/>
    </row>
    <row r="42" spans="1:32" ht="12.75" customHeight="1">
      <c r="A42" s="1524"/>
      <c r="B42" s="1525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5"/>
      <c r="Q42" s="1525"/>
      <c r="R42" s="1525"/>
      <c r="S42" s="1525"/>
      <c r="T42" s="1525"/>
      <c r="U42" s="1525"/>
      <c r="V42" s="1525"/>
      <c r="W42" s="1525"/>
      <c r="X42" s="1525"/>
      <c r="Y42" s="1526"/>
    </row>
    <row r="43" spans="1:32" ht="12.75" customHeight="1">
      <c r="A43" s="1524"/>
      <c r="B43" s="1525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5"/>
      <c r="Q43" s="1525"/>
      <c r="R43" s="1525"/>
      <c r="S43" s="1525"/>
      <c r="T43" s="1525"/>
      <c r="U43" s="1525"/>
      <c r="V43" s="1525"/>
      <c r="W43" s="1525"/>
      <c r="X43" s="1525"/>
      <c r="Y43" s="1526"/>
    </row>
    <row r="44" spans="1:32" ht="12.75" customHeight="1">
      <c r="A44" s="1524"/>
      <c r="B44" s="1525"/>
      <c r="C44" s="1525"/>
      <c r="D44" s="1525"/>
      <c r="E44" s="1525"/>
      <c r="F44" s="1525"/>
      <c r="G44" s="1525"/>
      <c r="H44" s="1525"/>
      <c r="I44" s="1525"/>
      <c r="J44" s="1525"/>
      <c r="K44" s="1525"/>
      <c r="L44" s="1525"/>
      <c r="M44" s="1525"/>
      <c r="N44" s="1525"/>
      <c r="O44" s="1525"/>
      <c r="P44" s="1525"/>
      <c r="Q44" s="1525"/>
      <c r="R44" s="1525"/>
      <c r="S44" s="1525"/>
      <c r="T44" s="1525"/>
      <c r="U44" s="1525"/>
      <c r="V44" s="1525"/>
      <c r="W44" s="1525"/>
      <c r="X44" s="1525"/>
      <c r="Y44" s="1526"/>
      <c r="AF44" s="387"/>
    </row>
    <row r="45" spans="1:32" ht="12.75" customHeight="1">
      <c r="A45" s="1524"/>
      <c r="B45" s="1525"/>
      <c r="C45" s="1525"/>
      <c r="D45" s="1525"/>
      <c r="E45" s="1525"/>
      <c r="F45" s="1525"/>
      <c r="G45" s="1525"/>
      <c r="H45" s="1525"/>
      <c r="I45" s="1525"/>
      <c r="J45" s="1525"/>
      <c r="K45" s="1525"/>
      <c r="L45" s="1525"/>
      <c r="M45" s="1525"/>
      <c r="N45" s="1525"/>
      <c r="O45" s="1525"/>
      <c r="P45" s="1525"/>
      <c r="Q45" s="1525"/>
      <c r="R45" s="1525"/>
      <c r="S45" s="1525"/>
      <c r="T45" s="1525"/>
      <c r="U45" s="1525"/>
      <c r="V45" s="1525"/>
      <c r="W45" s="1525"/>
      <c r="X45" s="1525"/>
      <c r="Y45" s="1526"/>
    </row>
    <row r="46" spans="1:32" ht="15" customHeight="1">
      <c r="A46" s="1524"/>
      <c r="B46" s="1525"/>
      <c r="C46" s="1525"/>
      <c r="D46" s="1525"/>
      <c r="E46" s="1525"/>
      <c r="F46" s="1525"/>
      <c r="G46" s="1525"/>
      <c r="H46" s="1525"/>
      <c r="I46" s="1525"/>
      <c r="J46" s="1525"/>
      <c r="K46" s="1525"/>
      <c r="L46" s="1525"/>
      <c r="M46" s="1525"/>
      <c r="N46" s="1525"/>
      <c r="O46" s="1525"/>
      <c r="P46" s="1525"/>
      <c r="Q46" s="1525"/>
      <c r="R46" s="1525"/>
      <c r="S46" s="1525"/>
      <c r="T46" s="1525"/>
      <c r="U46" s="1525"/>
      <c r="V46" s="1525"/>
      <c r="W46" s="1525"/>
      <c r="X46" s="1525"/>
      <c r="Y46" s="1526"/>
    </row>
    <row r="47" spans="1:32" ht="15" customHeight="1">
      <c r="A47" s="1524"/>
      <c r="B47" s="1525"/>
      <c r="C47" s="1525"/>
      <c r="D47" s="1525"/>
      <c r="E47" s="1525"/>
      <c r="F47" s="1525"/>
      <c r="G47" s="1525"/>
      <c r="H47" s="1525"/>
      <c r="I47" s="1525"/>
      <c r="J47" s="1525"/>
      <c r="K47" s="1525"/>
      <c r="L47" s="1525"/>
      <c r="M47" s="1525"/>
      <c r="N47" s="1525"/>
      <c r="O47" s="1525"/>
      <c r="P47" s="1525"/>
      <c r="Q47" s="1525"/>
      <c r="R47" s="1525"/>
      <c r="S47" s="1525"/>
      <c r="T47" s="1525"/>
      <c r="U47" s="1525"/>
      <c r="V47" s="1525"/>
      <c r="W47" s="1525"/>
      <c r="X47" s="1525"/>
      <c r="Y47" s="1526"/>
    </row>
    <row r="48" spans="1:32" ht="15" customHeight="1">
      <c r="A48" s="1524"/>
      <c r="B48" s="1525"/>
      <c r="C48" s="1525"/>
      <c r="D48" s="1525"/>
      <c r="E48" s="1525"/>
      <c r="F48" s="1525"/>
      <c r="G48" s="1525"/>
      <c r="H48" s="1525"/>
      <c r="I48" s="1525"/>
      <c r="J48" s="1525"/>
      <c r="K48" s="1525"/>
      <c r="L48" s="1525"/>
      <c r="M48" s="1525"/>
      <c r="N48" s="1525"/>
      <c r="O48" s="1525"/>
      <c r="P48" s="1525"/>
      <c r="Q48" s="1525"/>
      <c r="R48" s="1525"/>
      <c r="S48" s="1525"/>
      <c r="T48" s="1525"/>
      <c r="U48" s="1525"/>
      <c r="V48" s="1525"/>
      <c r="W48" s="1525"/>
      <c r="X48" s="1525"/>
      <c r="Y48" s="1526"/>
    </row>
    <row r="49" spans="1:25" ht="15" customHeight="1">
      <c r="A49" s="1524"/>
      <c r="B49" s="1525"/>
      <c r="C49" s="1525"/>
      <c r="D49" s="1525"/>
      <c r="E49" s="1525"/>
      <c r="F49" s="1525"/>
      <c r="G49" s="1525"/>
      <c r="H49" s="1525"/>
      <c r="I49" s="1525"/>
      <c r="J49" s="1525"/>
      <c r="K49" s="1525"/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6"/>
    </row>
    <row r="50" spans="1:25" ht="15" customHeight="1">
      <c r="A50" s="1524"/>
      <c r="B50" s="1525"/>
      <c r="C50" s="1525"/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  <c r="V50" s="1525"/>
      <c r="W50" s="1525"/>
      <c r="X50" s="1525"/>
      <c r="Y50" s="1526"/>
    </row>
    <row r="51" spans="1:25" ht="15" customHeight="1">
      <c r="A51" s="1524"/>
      <c r="B51" s="1525"/>
      <c r="C51" s="1525"/>
      <c r="D51" s="1525"/>
      <c r="E51" s="1525"/>
      <c r="F51" s="1525"/>
      <c r="G51" s="1525"/>
      <c r="H51" s="1525"/>
      <c r="I51" s="1525"/>
      <c r="J51" s="1525"/>
      <c r="K51" s="1525"/>
      <c r="L51" s="1525"/>
      <c r="M51" s="1525"/>
      <c r="N51" s="1525"/>
      <c r="O51" s="1525"/>
      <c r="P51" s="1525"/>
      <c r="Q51" s="1525"/>
      <c r="R51" s="1525"/>
      <c r="S51" s="1525"/>
      <c r="T51" s="1525"/>
      <c r="U51" s="1525"/>
      <c r="V51" s="1525"/>
      <c r="W51" s="1525"/>
      <c r="X51" s="1525"/>
      <c r="Y51" s="1526"/>
    </row>
    <row r="52" spans="1:25" ht="15" customHeight="1">
      <c r="A52" s="1524"/>
      <c r="B52" s="1525"/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6"/>
    </row>
    <row r="53" spans="1:25" ht="15" customHeight="1">
      <c r="A53" s="1524"/>
      <c r="B53" s="1525"/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6"/>
    </row>
    <row r="54" spans="1:25" ht="15" customHeight="1">
      <c r="A54" s="1524"/>
      <c r="B54" s="1525"/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6"/>
    </row>
    <row r="55" spans="1:25" ht="15" customHeight="1">
      <c r="A55" s="1524"/>
      <c r="B55" s="1525"/>
      <c r="C55" s="1525"/>
      <c r="D55" s="1525"/>
      <c r="E55" s="1525"/>
      <c r="F55" s="1525"/>
      <c r="G55" s="1525"/>
      <c r="H55" s="1525"/>
      <c r="I55" s="1525"/>
      <c r="J55" s="1525"/>
      <c r="K55" s="1525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5"/>
      <c r="X55" s="1525"/>
      <c r="Y55" s="1526"/>
    </row>
    <row r="56" spans="1:25" ht="15" customHeight="1">
      <c r="A56" s="1524"/>
      <c r="B56" s="1525"/>
      <c r="C56" s="1525"/>
      <c r="D56" s="1525"/>
      <c r="E56" s="1525"/>
      <c r="F56" s="1525"/>
      <c r="G56" s="1525"/>
      <c r="H56" s="1525"/>
      <c r="I56" s="1525"/>
      <c r="J56" s="1525"/>
      <c r="K56" s="1525"/>
      <c r="L56" s="1525"/>
      <c r="M56" s="1525"/>
      <c r="N56" s="1525"/>
      <c r="O56" s="1525"/>
      <c r="P56" s="1525"/>
      <c r="Q56" s="1525"/>
      <c r="R56" s="1525"/>
      <c r="S56" s="1525"/>
      <c r="T56" s="1525"/>
      <c r="U56" s="1525"/>
      <c r="V56" s="1525"/>
      <c r="W56" s="1525"/>
      <c r="X56" s="1525"/>
      <c r="Y56" s="1526"/>
    </row>
    <row r="57" spans="1:25" ht="15" customHeight="1">
      <c r="A57" s="1524"/>
      <c r="B57" s="1525"/>
      <c r="C57" s="1525"/>
      <c r="D57" s="1525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6"/>
    </row>
    <row r="58" spans="1:25" ht="15" customHeight="1">
      <c r="A58" s="1524"/>
      <c r="B58" s="1525"/>
      <c r="C58" s="1525"/>
      <c r="D58" s="1525"/>
      <c r="E58" s="1525"/>
      <c r="F58" s="1525"/>
      <c r="G58" s="1525"/>
      <c r="H58" s="1525"/>
      <c r="I58" s="1525"/>
      <c r="J58" s="1525"/>
      <c r="K58" s="1525"/>
      <c r="L58" s="1525"/>
      <c r="M58" s="1525"/>
      <c r="N58" s="1525"/>
      <c r="O58" s="1525"/>
      <c r="P58" s="1525"/>
      <c r="Q58" s="1525"/>
      <c r="R58" s="1525"/>
      <c r="S58" s="1525"/>
      <c r="T58" s="1525"/>
      <c r="U58" s="1525"/>
      <c r="V58" s="1525"/>
      <c r="W58" s="1525"/>
      <c r="X58" s="1525"/>
      <c r="Y58" s="1526"/>
    </row>
    <row r="59" spans="1:25" ht="15" customHeight="1">
      <c r="A59" s="1524"/>
      <c r="B59" s="1525"/>
      <c r="C59" s="1525"/>
      <c r="D59" s="1525"/>
      <c r="E59" s="1525"/>
      <c r="F59" s="1525"/>
      <c r="G59" s="1525"/>
      <c r="H59" s="1525"/>
      <c r="I59" s="1525"/>
      <c r="J59" s="1525"/>
      <c r="K59" s="1525"/>
      <c r="L59" s="1525"/>
      <c r="M59" s="1525"/>
      <c r="N59" s="1525"/>
      <c r="O59" s="1525"/>
      <c r="P59" s="1525"/>
      <c r="Q59" s="1525"/>
      <c r="R59" s="1525"/>
      <c r="S59" s="1525"/>
      <c r="T59" s="1525"/>
      <c r="U59" s="1525"/>
      <c r="V59" s="1525"/>
      <c r="W59" s="1525"/>
      <c r="X59" s="1525"/>
      <c r="Y59" s="1526"/>
    </row>
    <row r="60" spans="1:25" ht="14.25" customHeight="1" thickBot="1">
      <c r="A60" s="1527"/>
      <c r="B60" s="1528"/>
      <c r="C60" s="1528"/>
      <c r="D60" s="1528"/>
      <c r="E60" s="1528"/>
      <c r="F60" s="1528"/>
      <c r="G60" s="1528"/>
      <c r="H60" s="1528"/>
      <c r="I60" s="1528"/>
      <c r="J60" s="1528"/>
      <c r="K60" s="1528"/>
      <c r="L60" s="1528"/>
      <c r="M60" s="1528"/>
      <c r="N60" s="1528"/>
      <c r="O60" s="1528"/>
      <c r="P60" s="1528"/>
      <c r="Q60" s="1528"/>
      <c r="R60" s="1528"/>
      <c r="S60" s="1528"/>
      <c r="T60" s="1528"/>
      <c r="U60" s="1528"/>
      <c r="V60" s="1528"/>
      <c r="W60" s="1528"/>
      <c r="X60" s="1528"/>
      <c r="Y60" s="1529"/>
    </row>
    <row r="61" spans="1:25" ht="15" hidden="1" customHeight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hidden="1" customHeight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hidden="1" customHeight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hidden="1" customHeight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hidden="1" customHeight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hidden="1" customHeight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hidden="1" customHeight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hidden="1" customHeight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hidden="1" customHeight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hidden="1" customHeight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hidden="1" customHeight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>
      <c r="A72" s="1530" t="s">
        <v>382</v>
      </c>
      <c r="B72" s="1531"/>
      <c r="C72" s="1506" t="s">
        <v>39</v>
      </c>
      <c r="D72" s="1506"/>
      <c r="E72" s="1506"/>
      <c r="F72" s="1506"/>
      <c r="G72" s="1506"/>
      <c r="H72" s="1506"/>
      <c r="I72" s="1506"/>
      <c r="J72" s="1506"/>
      <c r="K72" s="1506"/>
      <c r="L72" s="1506"/>
      <c r="M72" s="1506"/>
      <c r="N72" s="1506"/>
      <c r="O72" s="1506"/>
      <c r="P72" s="1506"/>
      <c r="Q72" s="1506"/>
      <c r="R72" s="1506"/>
      <c r="S72" s="1506"/>
      <c r="T72" s="1506"/>
      <c r="U72" s="1506"/>
      <c r="V72" s="1506"/>
      <c r="W72" s="1506"/>
      <c r="X72" s="1506"/>
      <c r="Y72" s="1507"/>
    </row>
    <row r="73" spans="1:25" ht="13.5" thickBot="1">
      <c r="A73" s="1477" t="s">
        <v>39</v>
      </c>
      <c r="B73" s="1478"/>
      <c r="C73" s="1478"/>
      <c r="D73" s="1478"/>
      <c r="E73" s="1478"/>
      <c r="F73" s="1478"/>
      <c r="G73" s="1478"/>
      <c r="H73" s="1478"/>
      <c r="I73" s="1478"/>
      <c r="J73" s="1478"/>
      <c r="K73" s="1478"/>
      <c r="L73" s="1478"/>
      <c r="M73" s="1478"/>
      <c r="N73" s="1478"/>
      <c r="O73" s="1478"/>
      <c r="P73" s="1478"/>
      <c r="Q73" s="1478"/>
      <c r="R73" s="1478"/>
      <c r="S73" s="1478"/>
      <c r="T73" s="1478"/>
      <c r="U73" s="1478"/>
      <c r="V73" s="1478"/>
      <c r="W73" s="1478"/>
      <c r="X73" s="1478"/>
      <c r="Y73" s="1479"/>
    </row>
    <row r="74" spans="1:25" ht="3.75" customHeight="1" thickBot="1">
      <c r="A74" s="1480"/>
      <c r="B74" s="1481"/>
      <c r="C74" s="1481"/>
      <c r="D74" s="1481"/>
      <c r="E74" s="1481"/>
      <c r="F74" s="1481"/>
      <c r="G74" s="1481"/>
      <c r="H74" s="1481"/>
      <c r="I74" s="1481"/>
      <c r="J74" s="1481"/>
      <c r="K74" s="1481"/>
      <c r="L74" s="1481"/>
      <c r="M74" s="1481"/>
      <c r="N74" s="1481"/>
      <c r="O74" s="1481"/>
      <c r="P74" s="1481"/>
      <c r="Q74" s="1481"/>
      <c r="R74" s="1481"/>
      <c r="S74" s="1481"/>
      <c r="T74" s="1481"/>
      <c r="U74" s="1481"/>
      <c r="V74" s="1481"/>
      <c r="W74" s="1481"/>
      <c r="X74" s="1481"/>
      <c r="Y74" s="1482"/>
    </row>
    <row r="75" spans="1:25" ht="13.5" hidden="1" thickBot="1">
      <c r="A75" s="1483"/>
      <c r="B75" s="1484"/>
      <c r="C75" s="1484"/>
      <c r="D75" s="1484"/>
      <c r="E75" s="1484"/>
      <c r="F75" s="1484"/>
      <c r="G75" s="1484"/>
      <c r="H75" s="1484"/>
      <c r="I75" s="1484"/>
      <c r="J75" s="1484"/>
      <c r="K75" s="1484"/>
      <c r="L75" s="1484"/>
      <c r="M75" s="1484"/>
      <c r="N75" s="1484"/>
      <c r="O75" s="1484"/>
      <c r="P75" s="1484"/>
      <c r="Q75" s="1484"/>
      <c r="R75" s="1484"/>
      <c r="S75" s="1484"/>
      <c r="T75" s="1484"/>
      <c r="U75" s="1484"/>
      <c r="V75" s="1484"/>
      <c r="W75" s="1484"/>
      <c r="X75" s="387"/>
      <c r="Y75" s="383"/>
    </row>
    <row r="76" spans="1:25" ht="13.5" hidden="1" thickBot="1">
      <c r="A76" s="1485"/>
      <c r="B76" s="1486"/>
      <c r="C76" s="1486"/>
      <c r="D76" s="1486"/>
      <c r="E76" s="1486"/>
      <c r="F76" s="1486"/>
      <c r="G76" s="1486"/>
      <c r="H76" s="1486"/>
      <c r="I76" s="1486"/>
      <c r="J76" s="1486"/>
      <c r="K76" s="1486"/>
      <c r="L76" s="1486"/>
      <c r="M76" s="1486"/>
      <c r="N76" s="1486"/>
      <c r="O76" s="1486"/>
      <c r="P76" s="1486"/>
      <c r="Q76" s="1486"/>
      <c r="R76" s="1486"/>
      <c r="S76" s="1486"/>
      <c r="T76" s="1486"/>
      <c r="U76" s="1486"/>
      <c r="V76" s="1486"/>
      <c r="W76" s="1486"/>
      <c r="X76" s="387"/>
      <c r="Y76" s="383"/>
    </row>
    <row r="77" spans="1:25" ht="13.5" hidden="1" thickBot="1">
      <c r="A77" s="1487"/>
      <c r="B77" s="1488"/>
      <c r="C77" s="1488"/>
      <c r="D77" s="1488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9"/>
      <c r="T77" s="1489"/>
      <c r="U77" s="1489"/>
      <c r="V77" s="1489"/>
      <c r="W77" s="1489"/>
      <c r="X77" s="387"/>
      <c r="Y77" s="383"/>
    </row>
    <row r="78" spans="1:25" ht="15.75" thickBot="1">
      <c r="A78" s="450" t="s">
        <v>383</v>
      </c>
      <c r="B78" s="1499" t="str">
        <f>DATOS!$G$5</f>
        <v>#</v>
      </c>
      <c r="C78" s="1499"/>
      <c r="D78" s="1499"/>
      <c r="E78" s="1499"/>
      <c r="F78" s="1499"/>
      <c r="G78" s="1499"/>
      <c r="H78" s="1499"/>
      <c r="I78" s="1499"/>
      <c r="J78" s="1500"/>
      <c r="K78" s="1497" t="s">
        <v>384</v>
      </c>
      <c r="L78" s="1498"/>
      <c r="M78" s="1498"/>
      <c r="N78" s="1498"/>
      <c r="O78" s="1498"/>
      <c r="P78" s="1498"/>
      <c r="Q78" s="1498"/>
      <c r="R78" s="1498"/>
      <c r="S78" s="1494" t="s">
        <v>385</v>
      </c>
      <c r="T78" s="1495"/>
      <c r="U78" s="1495"/>
      <c r="V78" s="1495"/>
      <c r="W78" s="1495"/>
      <c r="X78" s="1495"/>
      <c r="Y78" s="1496"/>
    </row>
    <row r="79" spans="1:25">
      <c r="A79" s="1497"/>
      <c r="B79" s="1498"/>
      <c r="C79" s="1498"/>
      <c r="D79" s="1498"/>
      <c r="E79" s="1498"/>
      <c r="F79" s="1498"/>
      <c r="G79" s="1498"/>
      <c r="H79" s="1498"/>
      <c r="I79" s="1498"/>
      <c r="J79" s="1501"/>
      <c r="K79" s="1497"/>
      <c r="L79" s="1498"/>
      <c r="M79" s="1498"/>
      <c r="N79" s="1498"/>
      <c r="O79" s="1498"/>
      <c r="P79" s="1498"/>
      <c r="Q79" s="1498"/>
      <c r="R79" s="1501"/>
      <c r="S79" s="1497"/>
      <c r="T79" s="1498"/>
      <c r="U79" s="1498"/>
      <c r="V79" s="1498"/>
      <c r="W79" s="1498"/>
      <c r="X79" s="1498"/>
      <c r="Y79" s="1501"/>
    </row>
    <row r="80" spans="1:25">
      <c r="A80" s="1502"/>
      <c r="B80" s="1503"/>
      <c r="C80" s="1503"/>
      <c r="D80" s="1503"/>
      <c r="E80" s="1503"/>
      <c r="F80" s="1503"/>
      <c r="G80" s="1503"/>
      <c r="H80" s="1503"/>
      <c r="I80" s="1503"/>
      <c r="J80" s="1504"/>
      <c r="K80" s="1502"/>
      <c r="L80" s="1503"/>
      <c r="M80" s="1503"/>
      <c r="N80" s="1503"/>
      <c r="O80" s="1503"/>
      <c r="P80" s="1503"/>
      <c r="Q80" s="1503"/>
      <c r="R80" s="1504"/>
      <c r="S80" s="1502"/>
      <c r="T80" s="1503"/>
      <c r="U80" s="1503"/>
      <c r="V80" s="1503"/>
      <c r="W80" s="1503"/>
      <c r="X80" s="1503"/>
      <c r="Y80" s="1504"/>
    </row>
    <row r="81" spans="1:25">
      <c r="A81" s="1502"/>
      <c r="B81" s="1503"/>
      <c r="C81" s="1503"/>
      <c r="D81" s="1503"/>
      <c r="E81" s="1503"/>
      <c r="F81" s="1503"/>
      <c r="G81" s="1503"/>
      <c r="H81" s="1503"/>
      <c r="I81" s="1503"/>
      <c r="J81" s="1504"/>
      <c r="K81" s="1502"/>
      <c r="L81" s="1503"/>
      <c r="M81" s="1503"/>
      <c r="N81" s="1503"/>
      <c r="O81" s="1503"/>
      <c r="P81" s="1503"/>
      <c r="Q81" s="1503"/>
      <c r="R81" s="1504"/>
      <c r="S81" s="1502"/>
      <c r="T81" s="1503"/>
      <c r="U81" s="1503"/>
      <c r="V81" s="1503"/>
      <c r="W81" s="1503"/>
      <c r="X81" s="1503"/>
      <c r="Y81" s="1504"/>
    </row>
    <row r="82" spans="1:25">
      <c r="A82" s="1502"/>
      <c r="B82" s="1503"/>
      <c r="C82" s="1503"/>
      <c r="D82" s="1503"/>
      <c r="E82" s="1503"/>
      <c r="F82" s="1503"/>
      <c r="G82" s="1503"/>
      <c r="H82" s="1503"/>
      <c r="I82" s="1503"/>
      <c r="J82" s="1504"/>
      <c r="K82" s="1502"/>
      <c r="L82" s="1503"/>
      <c r="M82" s="1503"/>
      <c r="N82" s="1503"/>
      <c r="O82" s="1503"/>
      <c r="P82" s="1503"/>
      <c r="Q82" s="1503"/>
      <c r="R82" s="1504"/>
      <c r="S82" s="1502"/>
      <c r="T82" s="1503"/>
      <c r="U82" s="1503"/>
      <c r="V82" s="1503"/>
      <c r="W82" s="1503"/>
      <c r="X82" s="1503"/>
      <c r="Y82" s="1504"/>
    </row>
    <row r="83" spans="1:25">
      <c r="A83" s="1502"/>
      <c r="B83" s="1503"/>
      <c r="C83" s="1503"/>
      <c r="D83" s="1503"/>
      <c r="E83" s="1503"/>
      <c r="F83" s="1503"/>
      <c r="G83" s="1503"/>
      <c r="H83" s="1503"/>
      <c r="I83" s="1503"/>
      <c r="J83" s="1504"/>
      <c r="K83" s="1502"/>
      <c r="L83" s="1503"/>
      <c r="M83" s="1503"/>
      <c r="N83" s="1503"/>
      <c r="O83" s="1503"/>
      <c r="P83" s="1503"/>
      <c r="Q83" s="1503"/>
      <c r="R83" s="1504"/>
      <c r="S83" s="1502"/>
      <c r="T83" s="1503"/>
      <c r="U83" s="1503"/>
      <c r="V83" s="1503"/>
      <c r="W83" s="1503"/>
      <c r="X83" s="1503"/>
      <c r="Y83" s="1504"/>
    </row>
    <row r="84" spans="1:25">
      <c r="A84" s="1502"/>
      <c r="B84" s="1503"/>
      <c r="C84" s="1503"/>
      <c r="D84" s="1503"/>
      <c r="E84" s="1503"/>
      <c r="F84" s="1503"/>
      <c r="G84" s="1503"/>
      <c r="H84" s="1503"/>
      <c r="I84" s="1503"/>
      <c r="J84" s="1504"/>
      <c r="K84" s="1502"/>
      <c r="L84" s="1503"/>
      <c r="M84" s="1503"/>
      <c r="N84" s="1503"/>
      <c r="O84" s="1503"/>
      <c r="P84" s="1503"/>
      <c r="Q84" s="1503"/>
      <c r="R84" s="1504"/>
      <c r="S84" s="1502"/>
      <c r="T84" s="1503"/>
      <c r="U84" s="1503"/>
      <c r="V84" s="1503"/>
      <c r="W84" s="1503"/>
      <c r="X84" s="1503"/>
      <c r="Y84" s="1504"/>
    </row>
    <row r="85" spans="1:25" ht="55.5" customHeight="1">
      <c r="A85" s="1502"/>
      <c r="B85" s="1503"/>
      <c r="C85" s="1503"/>
      <c r="D85" s="1503"/>
      <c r="E85" s="1503"/>
      <c r="F85" s="1503"/>
      <c r="G85" s="1503"/>
      <c r="H85" s="1503"/>
      <c r="I85" s="1503"/>
      <c r="J85" s="1504"/>
      <c r="K85" s="1502"/>
      <c r="L85" s="1503"/>
      <c r="M85" s="1503"/>
      <c r="N85" s="1503"/>
      <c r="O85" s="1503"/>
      <c r="P85" s="1503"/>
      <c r="Q85" s="1503"/>
      <c r="R85" s="1504"/>
      <c r="S85" s="1502"/>
      <c r="T85" s="1503"/>
      <c r="U85" s="1503"/>
      <c r="V85" s="1503"/>
      <c r="W85" s="1503"/>
      <c r="X85" s="1503"/>
      <c r="Y85" s="1504"/>
    </row>
    <row r="86" spans="1:25" ht="2.25" customHeight="1" thickBot="1">
      <c r="A86" s="1490"/>
      <c r="B86" s="1491"/>
      <c r="C86" s="1491"/>
      <c r="D86" s="1491"/>
      <c r="E86" s="1491"/>
      <c r="F86" s="1491"/>
      <c r="G86" s="1491"/>
      <c r="H86" s="1491"/>
      <c r="I86" s="1491"/>
      <c r="J86" s="1492"/>
      <c r="K86" s="1490"/>
      <c r="L86" s="1491"/>
      <c r="M86" s="1491"/>
      <c r="N86" s="1491"/>
      <c r="O86" s="1491"/>
      <c r="P86" s="1491"/>
      <c r="Q86" s="1491"/>
      <c r="R86" s="1492"/>
      <c r="S86" s="1490"/>
      <c r="T86" s="1491"/>
      <c r="U86" s="1491"/>
      <c r="V86" s="1491"/>
      <c r="W86" s="1491"/>
      <c r="X86" s="1491"/>
      <c r="Y86" s="1492"/>
    </row>
    <row r="87" spans="1:25" ht="11.25" customHeight="1" thickBot="1">
      <c r="A87" s="1490" t="s">
        <v>386</v>
      </c>
      <c r="B87" s="1491"/>
      <c r="C87" s="1491"/>
      <c r="D87" s="1491"/>
      <c r="E87" s="1491"/>
      <c r="F87" s="1491"/>
      <c r="G87" s="1491"/>
      <c r="H87" s="1491"/>
      <c r="I87" s="1491"/>
      <c r="J87" s="1492"/>
      <c r="K87" s="1493" t="s">
        <v>387</v>
      </c>
      <c r="L87" s="1493"/>
      <c r="M87" s="1493"/>
      <c r="N87" s="1493"/>
      <c r="O87" s="1493"/>
      <c r="P87" s="1493"/>
      <c r="Q87" s="1493"/>
      <c r="R87" s="1493"/>
      <c r="S87" s="1494" t="s">
        <v>388</v>
      </c>
      <c r="T87" s="1495"/>
      <c r="U87" s="1495"/>
      <c r="V87" s="1495"/>
      <c r="W87" s="1495"/>
      <c r="X87" s="1495"/>
      <c r="Y87" s="1496"/>
    </row>
  </sheetData>
  <mergeCells count="30"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A6:C6"/>
    <mergeCell ref="D6:K6"/>
    <mergeCell ref="M6:N6"/>
    <mergeCell ref="A7:Y60"/>
    <mergeCell ref="A72:B72"/>
    <mergeCell ref="A87:J87"/>
    <mergeCell ref="K87:R87"/>
    <mergeCell ref="S87:Y87"/>
    <mergeCell ref="B78:J78"/>
    <mergeCell ref="K78:R78"/>
    <mergeCell ref="S78:Y78"/>
    <mergeCell ref="A79:J86"/>
    <mergeCell ref="K79:R86"/>
    <mergeCell ref="S79:Y86"/>
    <mergeCell ref="A73:Y73"/>
    <mergeCell ref="A74:Y74"/>
    <mergeCell ref="A75:W75"/>
    <mergeCell ref="A76:W76"/>
    <mergeCell ref="A77:W77"/>
  </mergeCells>
  <pageMargins left="1.4960629921259843" right="0" top="0" bottom="0" header="0.31496062992125984" footer="0.31496062992125984"/>
  <pageSetup paperSize="9" scale="7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LENGUETA INSTRUCTIVO</vt:lpstr>
      <vt:lpstr>DATOS</vt:lpstr>
      <vt:lpstr>CONTRATO </vt:lpstr>
      <vt:lpstr>P, ANEXA</vt:lpstr>
      <vt:lpstr>Art. 29</vt:lpstr>
      <vt:lpstr>ARBA R-115</vt:lpstr>
      <vt:lpstr>GASTOS</vt:lpstr>
      <vt:lpstr>FOTOS</vt:lpstr>
      <vt:lpstr>PLANTA</vt:lpstr>
      <vt:lpstr>PLANTA (2)</vt:lpstr>
      <vt:lpstr>S. de PROY.</vt:lpstr>
      <vt:lpstr>PROTOCOLO</vt:lpstr>
      <vt:lpstr>REGISTROS</vt:lpstr>
      <vt:lpstr>CONCLUS.</vt:lpstr>
      <vt:lpstr>CROQUIS</vt:lpstr>
      <vt:lpstr>CERT. CALIBRACION</vt:lpstr>
      <vt:lpstr>'CONTRATO '!Área_de_impresión</vt:lpstr>
      <vt:lpstr>PLANTA!Área_de_impresión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</dc:creator>
  <cp:lastModifiedBy>Grupo Politik</cp:lastModifiedBy>
  <cp:lastPrinted>2021-09-20T18:25:33Z</cp:lastPrinted>
  <dcterms:created xsi:type="dcterms:W3CDTF">2010-04-21T15:47:53Z</dcterms:created>
  <dcterms:modified xsi:type="dcterms:W3CDTF">2021-10-05T18:38:27Z</dcterms:modified>
</cp:coreProperties>
</file>